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dfin.vmr.gov.ua\DavWWWRoot\Documents\Відділ доходів бюджету\Серветник Максим Миколайович\Аналізи\Щомісячні\Аналіз 2022 рік\Очеретному, сайт, пайова\"/>
    </mc:Choice>
  </mc:AlternateContent>
  <bookViews>
    <workbookView xWindow="0" yWindow="0" windowWidth="23040" windowHeight="9375"/>
  </bookViews>
  <sheets>
    <sheet name="2022" sheetId="22" r:id="rId1"/>
  </sheets>
  <externalReferences>
    <externalReference r:id="rId2"/>
  </externalReferences>
  <definedNames>
    <definedName name="_xlnm.Print_Titles" localSheetId="0">'2022'!$3:$5</definedName>
    <definedName name="_xlnm.Print_Area" localSheetId="0">'2022'!$A$1:$Z$119</definedName>
  </definedNames>
  <calcPr calcId="152511" concurrentCalc="0"/>
</workbook>
</file>

<file path=xl/calcChain.xml><?xml version="1.0" encoding="utf-8"?>
<calcChain xmlns="http://schemas.openxmlformats.org/spreadsheetml/2006/main">
  <c r="T91" i="22" l="1"/>
  <c r="T90" i="22"/>
  <c r="T88" i="22"/>
  <c r="T84" i="22"/>
  <c r="T81" i="22"/>
  <c r="T45" i="22"/>
  <c r="T42" i="22"/>
  <c r="T34" i="22"/>
  <c r="T31" i="22"/>
  <c r="T30" i="22"/>
  <c r="T29" i="22"/>
  <c r="T19" i="22"/>
  <c r="T18" i="22"/>
  <c r="T16" i="22"/>
  <c r="T15" i="22"/>
  <c r="T11" i="22"/>
  <c r="T7" i="22"/>
  <c r="Q86" i="22"/>
  <c r="O101" i="22"/>
  <c r="O100" i="22"/>
  <c r="O96" i="22"/>
  <c r="O86" i="22"/>
  <c r="O77" i="22"/>
  <c r="O92" i="22"/>
  <c r="O72" i="22"/>
  <c r="O70" i="22"/>
  <c r="O110" i="22"/>
  <c r="O61" i="22"/>
  <c r="O73" i="22"/>
  <c r="O113" i="22"/>
  <c r="O35" i="22"/>
  <c r="O21" i="22"/>
  <c r="O17" i="22"/>
  <c r="O14" i="22"/>
  <c r="O9" i="22"/>
  <c r="O112" i="22"/>
  <c r="O111" i="22"/>
  <c r="O109" i="22"/>
  <c r="O48" i="22"/>
  <c r="O71" i="22"/>
  <c r="O68" i="22"/>
  <c r="O104" i="22"/>
  <c r="O75" i="22"/>
  <c r="O107" i="22"/>
  <c r="O115" i="22"/>
  <c r="O126" i="22"/>
  <c r="AA21" i="22"/>
  <c r="AA15" i="22"/>
  <c r="F49" i="22"/>
  <c r="T98" i="22"/>
  <c r="T97" i="22"/>
  <c r="T96" i="22"/>
  <c r="Q96" i="22"/>
  <c r="H96" i="22"/>
  <c r="I96" i="22"/>
  <c r="J96" i="22"/>
  <c r="K96" i="22"/>
  <c r="L96" i="22"/>
  <c r="M96" i="22"/>
  <c r="N96" i="22"/>
  <c r="P96" i="22"/>
  <c r="G96" i="22"/>
  <c r="F98" i="22"/>
  <c r="R98" i="22"/>
  <c r="F97" i="22"/>
  <c r="T54" i="22"/>
  <c r="T55" i="22"/>
  <c r="T56" i="22"/>
  <c r="U97" i="22"/>
  <c r="U98" i="22"/>
  <c r="R97" i="22"/>
  <c r="F96" i="22"/>
  <c r="U96" i="22"/>
  <c r="R96" i="22"/>
  <c r="U49" i="22"/>
  <c r="R49" i="22"/>
  <c r="Y98" i="22"/>
  <c r="Y97" i="22"/>
  <c r="X96" i="22"/>
  <c r="X102" i="22"/>
  <c r="Y49" i="22"/>
  <c r="X72" i="22"/>
  <c r="F54" i="22"/>
  <c r="F55" i="22"/>
  <c r="F56" i="22"/>
  <c r="A50" i="22"/>
  <c r="A51" i="22"/>
  <c r="A52" i="22"/>
  <c r="A53" i="22"/>
  <c r="A54" i="22"/>
  <c r="A55" i="22"/>
  <c r="A56" i="22"/>
  <c r="A57" i="22"/>
  <c r="A58" i="22"/>
  <c r="A59" i="22"/>
  <c r="A60" i="22"/>
  <c r="A61" i="22"/>
  <c r="X61" i="22"/>
  <c r="X73" i="22"/>
  <c r="X35" i="22"/>
  <c r="Y96" i="22"/>
  <c r="Y56" i="22"/>
  <c r="U56" i="22"/>
  <c r="R56" i="22"/>
  <c r="Y55" i="22"/>
  <c r="R55" i="22"/>
  <c r="U55" i="22"/>
  <c r="Y54" i="22"/>
  <c r="R54" i="22"/>
  <c r="U54" i="22"/>
  <c r="N101" i="22"/>
  <c r="N100" i="22"/>
  <c r="N86" i="22"/>
  <c r="N77" i="22"/>
  <c r="N92" i="22"/>
  <c r="N72" i="22"/>
  <c r="N70" i="22"/>
  <c r="N110" i="22"/>
  <c r="N61" i="22"/>
  <c r="N73" i="22"/>
  <c r="N113" i="22"/>
  <c r="N35" i="22"/>
  <c r="N21" i="22"/>
  <c r="N17" i="22"/>
  <c r="N14" i="22"/>
  <c r="N9" i="22"/>
  <c r="N71" i="22"/>
  <c r="N68" i="22"/>
  <c r="N112" i="22"/>
  <c r="N111" i="22"/>
  <c r="N109" i="22"/>
  <c r="N48" i="22"/>
  <c r="N107" i="22"/>
  <c r="N104" i="22"/>
  <c r="N115" i="22"/>
  <c r="N75" i="22"/>
  <c r="P17" i="22"/>
  <c r="E17" i="22"/>
  <c r="T17" i="22"/>
  <c r="F59" i="22"/>
  <c r="F95" i="22"/>
  <c r="E14" i="22"/>
  <c r="T14" i="22"/>
  <c r="Q17" i="22"/>
  <c r="Q14" i="22"/>
  <c r="F18" i="22"/>
  <c r="S18" i="22"/>
  <c r="F19" i="22"/>
  <c r="Y19" i="22"/>
  <c r="R95" i="22"/>
  <c r="T95" i="22"/>
  <c r="U95" i="22"/>
  <c r="R59" i="22"/>
  <c r="T59" i="22"/>
  <c r="U59" i="22"/>
  <c r="Y95" i="22"/>
  <c r="Y59" i="22"/>
  <c r="X71" i="22"/>
  <c r="Y18" i="22"/>
  <c r="W19" i="22"/>
  <c r="R19" i="22"/>
  <c r="U18" i="22"/>
  <c r="S19" i="22"/>
  <c r="V19" i="22"/>
  <c r="U19" i="22"/>
  <c r="R18" i="22"/>
  <c r="W18" i="22"/>
  <c r="V18" i="22"/>
  <c r="M101" i="22"/>
  <c r="M100" i="22"/>
  <c r="M86" i="22"/>
  <c r="M77" i="22"/>
  <c r="M92" i="22"/>
  <c r="M72" i="22"/>
  <c r="M70" i="22"/>
  <c r="M110" i="22"/>
  <c r="M61" i="22"/>
  <c r="M73" i="22"/>
  <c r="M71" i="22"/>
  <c r="M35" i="22"/>
  <c r="M21" i="22"/>
  <c r="M14" i="22"/>
  <c r="M9" i="22"/>
  <c r="M112" i="22"/>
  <c r="M48" i="22"/>
  <c r="M107" i="22"/>
  <c r="M68" i="22"/>
  <c r="M113" i="22"/>
  <c r="M104" i="22"/>
  <c r="M75" i="22"/>
  <c r="M111" i="22"/>
  <c r="M109" i="22"/>
  <c r="M115" i="22"/>
  <c r="P14" i="22"/>
  <c r="P21" i="22"/>
  <c r="D70" i="22"/>
  <c r="D110" i="22"/>
  <c r="G70" i="22"/>
  <c r="G110" i="22"/>
  <c r="H70" i="22"/>
  <c r="H110" i="22"/>
  <c r="I70" i="22"/>
  <c r="I110" i="22"/>
  <c r="J70" i="22"/>
  <c r="J110" i="22"/>
  <c r="K70" i="22"/>
  <c r="K110" i="22"/>
  <c r="L70" i="22"/>
  <c r="L110" i="22"/>
  <c r="P70" i="22"/>
  <c r="P110" i="22"/>
  <c r="Q70" i="22"/>
  <c r="Q110" i="22"/>
  <c r="T53" i="22"/>
  <c r="F53" i="22"/>
  <c r="V53" i="22"/>
  <c r="Y53" i="22"/>
  <c r="R53" i="22"/>
  <c r="U53" i="22"/>
  <c r="W53" i="22"/>
  <c r="S53" i="22"/>
  <c r="L101" i="22"/>
  <c r="L100" i="22"/>
  <c r="L86" i="22"/>
  <c r="L77" i="22"/>
  <c r="L92" i="22"/>
  <c r="L72" i="22"/>
  <c r="L62" i="22"/>
  <c r="L61" i="22"/>
  <c r="L73" i="22"/>
  <c r="L71" i="22"/>
  <c r="L68" i="22"/>
  <c r="L35" i="22"/>
  <c r="L21" i="22"/>
  <c r="L14" i="22"/>
  <c r="L9" i="22"/>
  <c r="L112" i="22"/>
  <c r="L48" i="22"/>
  <c r="L107" i="22"/>
  <c r="L113" i="22"/>
  <c r="L104" i="22"/>
  <c r="L111" i="22"/>
  <c r="L109" i="22"/>
  <c r="L115" i="22"/>
  <c r="L75" i="22"/>
  <c r="F50" i="22"/>
  <c r="T58" i="22"/>
  <c r="T57" i="22"/>
  <c r="T50" i="22"/>
  <c r="V50" i="22"/>
  <c r="W50" i="22"/>
  <c r="U50" i="22"/>
  <c r="Q61" i="22"/>
  <c r="X9" i="22"/>
  <c r="K101" i="22"/>
  <c r="K100" i="22"/>
  <c r="K86" i="22"/>
  <c r="K77" i="22"/>
  <c r="K92" i="22"/>
  <c r="K72" i="22"/>
  <c r="K112" i="22"/>
  <c r="K65" i="22"/>
  <c r="K61" i="22"/>
  <c r="K73" i="22"/>
  <c r="K71" i="22"/>
  <c r="K68" i="22"/>
  <c r="K35" i="22"/>
  <c r="K21" i="22"/>
  <c r="K14" i="22"/>
  <c r="K9" i="22"/>
  <c r="K48" i="22"/>
  <c r="K75" i="22"/>
  <c r="K104" i="22"/>
  <c r="K113" i="22"/>
  <c r="K111" i="22"/>
  <c r="K109" i="22"/>
  <c r="K107" i="22"/>
  <c r="K115" i="22"/>
  <c r="F67" i="22"/>
  <c r="F51" i="22"/>
  <c r="R67" i="22"/>
  <c r="R51" i="22"/>
  <c r="E89" i="22"/>
  <c r="T89" i="22"/>
  <c r="E87" i="22"/>
  <c r="T87" i="22"/>
  <c r="E85" i="22"/>
  <c r="E83" i="22"/>
  <c r="T83" i="22"/>
  <c r="E82" i="22"/>
  <c r="E79" i="22"/>
  <c r="E78" i="22"/>
  <c r="T78" i="22"/>
  <c r="E72" i="22"/>
  <c r="E67" i="22"/>
  <c r="T67" i="22"/>
  <c r="U67" i="22"/>
  <c r="E66" i="22"/>
  <c r="T66" i="22"/>
  <c r="E65" i="22"/>
  <c r="T65" i="22"/>
  <c r="E64" i="22"/>
  <c r="T64" i="22"/>
  <c r="E63" i="22"/>
  <c r="T63" i="22"/>
  <c r="E62" i="22"/>
  <c r="T62" i="22"/>
  <c r="E60" i="22"/>
  <c r="T60" i="22"/>
  <c r="E52" i="22"/>
  <c r="E70" i="22"/>
  <c r="E110" i="22"/>
  <c r="E51" i="22"/>
  <c r="T51" i="22"/>
  <c r="U51" i="22"/>
  <c r="E47" i="22"/>
  <c r="T47" i="22"/>
  <c r="E46" i="22"/>
  <c r="T46" i="22"/>
  <c r="E44" i="22"/>
  <c r="T44" i="22"/>
  <c r="E43" i="22"/>
  <c r="T43" i="22"/>
  <c r="E41" i="22"/>
  <c r="T41" i="22"/>
  <c r="E40" i="22"/>
  <c r="T40" i="22"/>
  <c r="E39" i="22"/>
  <c r="T39" i="22"/>
  <c r="E38" i="22"/>
  <c r="T38" i="22"/>
  <c r="E37" i="22"/>
  <c r="T37" i="22"/>
  <c r="E36" i="22"/>
  <c r="T36" i="22"/>
  <c r="E33" i="22"/>
  <c r="T33" i="22"/>
  <c r="E32" i="22"/>
  <c r="T32" i="22"/>
  <c r="E28" i="22"/>
  <c r="T28" i="22"/>
  <c r="E27" i="22"/>
  <c r="T27" i="22"/>
  <c r="E26" i="22"/>
  <c r="T26" i="22"/>
  <c r="E25" i="22"/>
  <c r="T25" i="22"/>
  <c r="E24" i="22"/>
  <c r="T24" i="22"/>
  <c r="E23" i="22"/>
  <c r="T23" i="22"/>
  <c r="E22" i="22"/>
  <c r="T22" i="22"/>
  <c r="E20" i="22"/>
  <c r="T20" i="22"/>
  <c r="E13" i="22"/>
  <c r="T13" i="22"/>
  <c r="E12" i="22"/>
  <c r="T12" i="22"/>
  <c r="E10" i="22"/>
  <c r="T10" i="22"/>
  <c r="E8" i="22"/>
  <c r="T8" i="22"/>
  <c r="Y67" i="22"/>
  <c r="Y51" i="22"/>
  <c r="E9" i="22"/>
  <c r="T9" i="22"/>
  <c r="E86" i="22"/>
  <c r="T52" i="22"/>
  <c r="J101" i="22"/>
  <c r="J100" i="22"/>
  <c r="J86" i="22"/>
  <c r="J77" i="22"/>
  <c r="J92" i="22"/>
  <c r="J72" i="22"/>
  <c r="J63" i="22"/>
  <c r="J62" i="22"/>
  <c r="J61" i="22"/>
  <c r="J73" i="22"/>
  <c r="J35" i="22"/>
  <c r="J21" i="22"/>
  <c r="J14" i="22"/>
  <c r="J9" i="22"/>
  <c r="J112" i="22"/>
  <c r="J48" i="22"/>
  <c r="J113" i="22"/>
  <c r="J111" i="22"/>
  <c r="J109" i="22"/>
  <c r="J71" i="22"/>
  <c r="J68" i="22"/>
  <c r="J104" i="22"/>
  <c r="J107" i="22"/>
  <c r="J75" i="22"/>
  <c r="J115" i="22"/>
  <c r="J126" i="22"/>
  <c r="I101" i="22"/>
  <c r="I100" i="22"/>
  <c r="I86" i="22"/>
  <c r="I77" i="22"/>
  <c r="I92" i="22"/>
  <c r="I72" i="22"/>
  <c r="I61" i="22"/>
  <c r="I73" i="22"/>
  <c r="I35" i="22"/>
  <c r="I21" i="22"/>
  <c r="I14" i="22"/>
  <c r="I9" i="22"/>
  <c r="I112" i="22"/>
  <c r="I113" i="22"/>
  <c r="I71" i="22"/>
  <c r="I68" i="22"/>
  <c r="I48" i="22"/>
  <c r="I107" i="22"/>
  <c r="I104" i="22"/>
  <c r="AA40" i="22"/>
  <c r="AA31" i="22"/>
  <c r="I111" i="22"/>
  <c r="I109" i="22"/>
  <c r="I115" i="22"/>
  <c r="I126" i="22"/>
  <c r="I75" i="22"/>
  <c r="F66" i="22"/>
  <c r="U66" i="22"/>
  <c r="R66" i="22"/>
  <c r="Y66" i="22"/>
  <c r="H101" i="22"/>
  <c r="H100" i="22"/>
  <c r="H86" i="22"/>
  <c r="H77" i="22"/>
  <c r="H92" i="22"/>
  <c r="H72" i="22"/>
  <c r="H61" i="22"/>
  <c r="H73" i="22"/>
  <c r="H71" i="22"/>
  <c r="H68" i="22"/>
  <c r="H35" i="22"/>
  <c r="H21" i="22"/>
  <c r="H14" i="22"/>
  <c r="H9" i="22"/>
  <c r="H112" i="22"/>
  <c r="H104" i="22"/>
  <c r="H48" i="22"/>
  <c r="H107" i="22"/>
  <c r="H113" i="22"/>
  <c r="H111" i="22"/>
  <c r="H109" i="22"/>
  <c r="F82" i="22"/>
  <c r="Y82" i="22"/>
  <c r="F80" i="22"/>
  <c r="F20" i="22"/>
  <c r="Y20" i="22"/>
  <c r="P9" i="22"/>
  <c r="P48" i="22"/>
  <c r="P35" i="22"/>
  <c r="AA35" i="22"/>
  <c r="P61" i="22"/>
  <c r="Y80" i="22"/>
  <c r="R80" i="22"/>
  <c r="H75" i="22"/>
  <c r="U80" i="22"/>
  <c r="U82" i="22"/>
  <c r="U20" i="22"/>
  <c r="H115" i="22"/>
  <c r="H126" i="22"/>
  <c r="R20" i="22"/>
  <c r="R82" i="22"/>
  <c r="P101" i="22"/>
  <c r="P77" i="22"/>
  <c r="P92" i="22"/>
  <c r="P86" i="22"/>
  <c r="P72" i="22"/>
  <c r="P73" i="22"/>
  <c r="P113" i="22"/>
  <c r="F102" i="22"/>
  <c r="F94" i="22"/>
  <c r="W94" i="22"/>
  <c r="F91" i="22"/>
  <c r="W91" i="22"/>
  <c r="F90" i="22"/>
  <c r="W90" i="22"/>
  <c r="F89" i="22"/>
  <c r="F88" i="22"/>
  <c r="F87" i="22"/>
  <c r="F85" i="22"/>
  <c r="F84" i="22"/>
  <c r="W84" i="22"/>
  <c r="F83" i="22"/>
  <c r="F81" i="22"/>
  <c r="W81" i="22"/>
  <c r="F79" i="22"/>
  <c r="F78" i="22"/>
  <c r="W78" i="22"/>
  <c r="F65" i="22"/>
  <c r="F64" i="22"/>
  <c r="F63" i="22"/>
  <c r="F62" i="22"/>
  <c r="F60" i="22"/>
  <c r="F58" i="22"/>
  <c r="W58" i="22"/>
  <c r="F57" i="22"/>
  <c r="W57" i="22"/>
  <c r="F52" i="22"/>
  <c r="W52" i="22"/>
  <c r="F47" i="22"/>
  <c r="W47" i="22"/>
  <c r="F46" i="22"/>
  <c r="W46" i="22"/>
  <c r="F45" i="22"/>
  <c r="W45" i="22"/>
  <c r="F44" i="22"/>
  <c r="W44" i="22"/>
  <c r="F43" i="22"/>
  <c r="W43" i="22"/>
  <c r="F42" i="22"/>
  <c r="V42" i="22"/>
  <c r="F41" i="22"/>
  <c r="W41" i="22"/>
  <c r="F40" i="22"/>
  <c r="W40" i="22"/>
  <c r="F39" i="22"/>
  <c r="W39" i="22"/>
  <c r="F38" i="22"/>
  <c r="W38" i="22"/>
  <c r="F37" i="22"/>
  <c r="W37" i="22"/>
  <c r="F36" i="22"/>
  <c r="W36" i="22"/>
  <c r="F34" i="22"/>
  <c r="W34" i="22"/>
  <c r="F33" i="22"/>
  <c r="W33" i="22"/>
  <c r="F32" i="22"/>
  <c r="W32" i="22"/>
  <c r="F31" i="22"/>
  <c r="W31" i="22"/>
  <c r="F30" i="22"/>
  <c r="F29" i="22"/>
  <c r="Z29" i="22"/>
  <c r="F28" i="22"/>
  <c r="W28" i="22"/>
  <c r="F27" i="22"/>
  <c r="F26" i="22"/>
  <c r="W26" i="22"/>
  <c r="F25" i="22"/>
  <c r="W25" i="22"/>
  <c r="F24" i="22"/>
  <c r="W24" i="22"/>
  <c r="F23" i="22"/>
  <c r="W23" i="22"/>
  <c r="F22" i="22"/>
  <c r="W22" i="22"/>
  <c r="F17" i="22"/>
  <c r="W17" i="22"/>
  <c r="F16" i="22"/>
  <c r="W16" i="22"/>
  <c r="F15" i="22"/>
  <c r="F13" i="22"/>
  <c r="F12" i="22"/>
  <c r="W12" i="22"/>
  <c r="F11" i="22"/>
  <c r="W11" i="22"/>
  <c r="F10" i="22"/>
  <c r="F8" i="22"/>
  <c r="W8" i="22"/>
  <c r="F7" i="22"/>
  <c r="W7" i="22"/>
  <c r="W30" i="22"/>
  <c r="Z30" i="22"/>
  <c r="W83" i="22"/>
  <c r="Z83" i="22"/>
  <c r="W64" i="22"/>
  <c r="Z64" i="22"/>
  <c r="W42" i="22"/>
  <c r="S42" i="22"/>
  <c r="Z42" i="22"/>
  <c r="W65" i="22"/>
  <c r="Z65" i="22"/>
  <c r="V88" i="22"/>
  <c r="W88" i="22"/>
  <c r="S88" i="22"/>
  <c r="W87" i="22"/>
  <c r="S87" i="22"/>
  <c r="Z87" i="22"/>
  <c r="W29" i="22"/>
  <c r="S29" i="22"/>
  <c r="W15" i="22"/>
  <c r="AB15" i="22"/>
  <c r="AC15" i="22"/>
  <c r="Z62" i="22"/>
  <c r="W62" i="22"/>
  <c r="Z89" i="22"/>
  <c r="W89" i="22"/>
  <c r="Z63" i="22"/>
  <c r="W63" i="22"/>
  <c r="Z13" i="22"/>
  <c r="W13" i="22"/>
  <c r="S10" i="22"/>
  <c r="W10" i="22"/>
  <c r="Z27" i="22"/>
  <c r="W27" i="22"/>
  <c r="Z11" i="22"/>
  <c r="S11" i="22"/>
  <c r="Z15" i="22"/>
  <c r="S15" i="22"/>
  <c r="Z10" i="22"/>
  <c r="V10" i="22"/>
  <c r="Z16" i="22"/>
  <c r="S16" i="22"/>
  <c r="Z34" i="22"/>
  <c r="Y34" i="22"/>
  <c r="P107" i="22"/>
  <c r="P112" i="22"/>
  <c r="P111" i="22"/>
  <c r="P109" i="22"/>
  <c r="P100" i="22"/>
  <c r="P71" i="22"/>
  <c r="P104" i="22"/>
  <c r="P68" i="22"/>
  <c r="P115" i="22"/>
  <c r="P126" i="22"/>
  <c r="P75" i="22"/>
  <c r="Z84" i="22"/>
  <c r="S89" i="22"/>
  <c r="V52" i="22"/>
  <c r="S52" i="22"/>
  <c r="F70" i="22"/>
  <c r="T72" i="22"/>
  <c r="Q72" i="22"/>
  <c r="G72" i="22"/>
  <c r="F72" i="22"/>
  <c r="W72" i="22"/>
  <c r="D72" i="22"/>
  <c r="Z58" i="22"/>
  <c r="W70" i="22"/>
  <c r="F110" i="22"/>
  <c r="T70" i="22"/>
  <c r="T94" i="22"/>
  <c r="T101" i="22"/>
  <c r="T100" i="22"/>
  <c r="T77" i="22"/>
  <c r="V70" i="22"/>
  <c r="T110" i="22"/>
  <c r="U110" i="22"/>
  <c r="R110" i="22"/>
  <c r="W110" i="22"/>
  <c r="V110" i="22"/>
  <c r="S110" i="22"/>
  <c r="T86" i="22"/>
  <c r="U10" i="22"/>
  <c r="T92" i="22"/>
  <c r="T112" i="22"/>
  <c r="R10" i="22"/>
  <c r="T104" i="22"/>
  <c r="D35" i="22"/>
  <c r="Y10" i="22"/>
  <c r="Q9" i="22"/>
  <c r="G9" i="22"/>
  <c r="F9" i="22"/>
  <c r="D9" i="22"/>
  <c r="E35" i="22"/>
  <c r="T35" i="22"/>
  <c r="R34" i="22"/>
  <c r="S34" i="22"/>
  <c r="V34" i="22"/>
  <c r="U34" i="22"/>
  <c r="W9" i="22"/>
  <c r="X101" i="22"/>
  <c r="X100" i="22"/>
  <c r="X86" i="22"/>
  <c r="X77" i="22"/>
  <c r="X92" i="22"/>
  <c r="X70" i="22"/>
  <c r="X110" i="22"/>
  <c r="Y110" i="22"/>
  <c r="X21" i="22"/>
  <c r="X14" i="22"/>
  <c r="X48" i="22"/>
  <c r="X107" i="22"/>
  <c r="X104" i="22"/>
  <c r="X112" i="22"/>
  <c r="X113" i="22"/>
  <c r="X68" i="22"/>
  <c r="X111" i="22"/>
  <c r="X109" i="22"/>
  <c r="X115" i="22"/>
  <c r="X75" i="22"/>
  <c r="Q21" i="22"/>
  <c r="G21" i="22"/>
  <c r="F21" i="22"/>
  <c r="Q101" i="22"/>
  <c r="Q100" i="22"/>
  <c r="G101" i="22"/>
  <c r="S70" i="22"/>
  <c r="G61" i="22"/>
  <c r="F61" i="22"/>
  <c r="E61" i="22"/>
  <c r="E73" i="22"/>
  <c r="E71" i="22"/>
  <c r="E68" i="22"/>
  <c r="T61" i="22"/>
  <c r="T73" i="22"/>
  <c r="T113" i="22"/>
  <c r="T111" i="22"/>
  <c r="T109" i="22"/>
  <c r="Z61" i="22"/>
  <c r="W61" i="22"/>
  <c r="G100" i="22"/>
  <c r="F100" i="22"/>
  <c r="F101" i="22"/>
  <c r="Q73" i="22"/>
  <c r="Y60" i="22"/>
  <c r="G73" i="22"/>
  <c r="F73" i="22"/>
  <c r="G112" i="22"/>
  <c r="F112" i="22"/>
  <c r="R60" i="22"/>
  <c r="U60" i="22"/>
  <c r="Q112" i="22"/>
  <c r="W73" i="22"/>
  <c r="T71" i="22"/>
  <c r="T68" i="22"/>
  <c r="D61" i="22"/>
  <c r="D73" i="22"/>
  <c r="D21" i="22"/>
  <c r="E21" i="22"/>
  <c r="T21" i="22"/>
  <c r="Q71" i="22"/>
  <c r="Q68" i="22"/>
  <c r="Q113" i="22"/>
  <c r="Q111" i="22"/>
  <c r="Q109" i="22"/>
  <c r="G71" i="22"/>
  <c r="G113" i="22"/>
  <c r="W21" i="22"/>
  <c r="G111" i="22"/>
  <c r="F113" i="22"/>
  <c r="G68" i="22"/>
  <c r="F71" i="22"/>
  <c r="W71" i="22"/>
  <c r="AB104" i="22"/>
  <c r="F111" i="22"/>
  <c r="G109" i="22"/>
  <c r="F109" i="22"/>
  <c r="F68" i="22"/>
  <c r="W68" i="22"/>
  <c r="D101" i="22"/>
  <c r="G86" i="22"/>
  <c r="F86" i="22"/>
  <c r="D86" i="22"/>
  <c r="A84" i="22"/>
  <c r="A85" i="22"/>
  <c r="A86" i="22"/>
  <c r="Z79" i="22"/>
  <c r="Q77" i="22"/>
  <c r="Q92" i="22"/>
  <c r="G77" i="22"/>
  <c r="F77" i="22"/>
  <c r="D77" i="22"/>
  <c r="D92" i="22"/>
  <c r="AB61" i="22"/>
  <c r="A41" i="22"/>
  <c r="A42" i="22"/>
  <c r="A43" i="22"/>
  <c r="A44" i="22"/>
  <c r="A45" i="22"/>
  <c r="A46" i="22"/>
  <c r="A47" i="22"/>
  <c r="Q35" i="22"/>
  <c r="Q48" i="22"/>
  <c r="G35" i="22"/>
  <c r="A28" i="22"/>
  <c r="A29" i="22"/>
  <c r="A30" i="22"/>
  <c r="A31" i="22"/>
  <c r="A32" i="22"/>
  <c r="A33" i="22"/>
  <c r="A34" i="22"/>
  <c r="A35" i="22"/>
  <c r="G14" i="22"/>
  <c r="F14" i="22"/>
  <c r="D14" i="22"/>
  <c r="AC8" i="22"/>
  <c r="AD8" i="22"/>
  <c r="A8" i="22"/>
  <c r="AD7" i="22"/>
  <c r="AC7" i="22"/>
  <c r="C5" i="22"/>
  <c r="D5" i="22"/>
  <c r="E5" i="22"/>
  <c r="F5" i="22"/>
  <c r="G5" i="22"/>
  <c r="E101" i="22"/>
  <c r="E100" i="22"/>
  <c r="D112" i="22"/>
  <c r="D100" i="22"/>
  <c r="W14" i="22"/>
  <c r="H5" i="22"/>
  <c r="F35" i="22"/>
  <c r="W35" i="22"/>
  <c r="S30" i="22"/>
  <c r="Z36" i="22"/>
  <c r="AA36" i="22"/>
  <c r="S41" i="22"/>
  <c r="Z8" i="22"/>
  <c r="S26" i="22"/>
  <c r="Y42" i="22"/>
  <c r="Y62" i="22"/>
  <c r="R81" i="22"/>
  <c r="G48" i="22"/>
  <c r="F48" i="22"/>
  <c r="R40" i="22"/>
  <c r="S57" i="22"/>
  <c r="Y78" i="22"/>
  <c r="R89" i="22"/>
  <c r="Z24" i="22"/>
  <c r="AA24" i="22"/>
  <c r="S13" i="22"/>
  <c r="S38" i="22"/>
  <c r="Y43" i="22"/>
  <c r="S50" i="22"/>
  <c r="R63" i="22"/>
  <c r="R58" i="22"/>
  <c r="R90" i="22"/>
  <c r="D48" i="22"/>
  <c r="T126" i="22"/>
  <c r="S27" i="22"/>
  <c r="Z33" i="22"/>
  <c r="R52" i="22"/>
  <c r="Y64" i="22"/>
  <c r="R84" i="22"/>
  <c r="U81" i="22"/>
  <c r="Q104" i="22"/>
  <c r="U7" i="22"/>
  <c r="R7" i="22"/>
  <c r="V94" i="22"/>
  <c r="R9" i="22"/>
  <c r="V87" i="22"/>
  <c r="U40" i="22"/>
  <c r="R79" i="22"/>
  <c r="U79" i="22"/>
  <c r="Y79" i="22"/>
  <c r="U89" i="22"/>
  <c r="U91" i="22"/>
  <c r="S24" i="22"/>
  <c r="Z81" i="22"/>
  <c r="V25" i="22"/>
  <c r="V46" i="22"/>
  <c r="Z50" i="22"/>
  <c r="V7" i="22"/>
  <c r="Y24" i="22"/>
  <c r="AC26" i="22"/>
  <c r="V33" i="22"/>
  <c r="U13" i="22"/>
  <c r="U24" i="22"/>
  <c r="S25" i="22"/>
  <c r="Z78" i="22"/>
  <c r="S81" i="22"/>
  <c r="R24" i="22"/>
  <c r="U27" i="22"/>
  <c r="U30" i="22"/>
  <c r="Y81" i="22"/>
  <c r="U52" i="22"/>
  <c r="R62" i="22"/>
  <c r="Z40" i="22"/>
  <c r="V43" i="22"/>
  <c r="Y57" i="22"/>
  <c r="S62" i="22"/>
  <c r="R13" i="22"/>
  <c r="U31" i="22"/>
  <c r="U62" i="22"/>
  <c r="Y13" i="22"/>
  <c r="Z26" i="22"/>
  <c r="V29" i="22"/>
  <c r="V38" i="22"/>
  <c r="S40" i="22"/>
  <c r="R28" i="22"/>
  <c r="Z28" i="22"/>
  <c r="R37" i="22"/>
  <c r="U39" i="22"/>
  <c r="R42" i="22"/>
  <c r="Z57" i="22"/>
  <c r="U12" i="22"/>
  <c r="R36" i="22"/>
  <c r="R26" i="22"/>
  <c r="S36" i="22"/>
  <c r="R44" i="22"/>
  <c r="V62" i="22"/>
  <c r="U63" i="22"/>
  <c r="U28" i="22"/>
  <c r="V31" i="22"/>
  <c r="V36" i="22"/>
  <c r="U37" i="22"/>
  <c r="Z41" i="22"/>
  <c r="AA41" i="22"/>
  <c r="V44" i="22"/>
  <c r="U57" i="22"/>
  <c r="V63" i="22"/>
  <c r="E77" i="22"/>
  <c r="E92" i="22"/>
  <c r="T128" i="22"/>
  <c r="T129" i="22"/>
  <c r="R87" i="22"/>
  <c r="V89" i="22"/>
  <c r="U90" i="22"/>
  <c r="R57" i="22"/>
  <c r="Y41" i="22"/>
  <c r="V47" i="22"/>
  <c r="V22" i="22"/>
  <c r="AB21" i="22"/>
  <c r="V26" i="22"/>
  <c r="V28" i="22"/>
  <c r="U33" i="22"/>
  <c r="V37" i="22"/>
  <c r="U42" i="22"/>
  <c r="V57" i="22"/>
  <c r="Y89" i="22"/>
  <c r="Y37" i="22"/>
  <c r="Y28" i="22"/>
  <c r="Z37" i="22"/>
  <c r="AA37" i="22"/>
  <c r="R41" i="22"/>
  <c r="U17" i="22"/>
  <c r="V23" i="22"/>
  <c r="S28" i="22"/>
  <c r="S37" i="22"/>
  <c r="Y87" i="22"/>
  <c r="R91" i="22"/>
  <c r="U11" i="22"/>
  <c r="V11" i="22"/>
  <c r="AE48" i="22"/>
  <c r="R14" i="22"/>
  <c r="Z14" i="22"/>
  <c r="Y14" i="22"/>
  <c r="S14" i="22"/>
  <c r="U41" i="22"/>
  <c r="V41" i="22"/>
  <c r="V16" i="22"/>
  <c r="U16" i="22"/>
  <c r="Z86" i="22"/>
  <c r="S86" i="22"/>
  <c r="R86" i="22"/>
  <c r="Y86" i="22"/>
  <c r="V45" i="22"/>
  <c r="R21" i="22"/>
  <c r="Y21" i="22"/>
  <c r="S21" i="22"/>
  <c r="Z21" i="22"/>
  <c r="U15" i="22"/>
  <c r="V15" i="22"/>
  <c r="AB48" i="22"/>
  <c r="AC46" i="22"/>
  <c r="Z32" i="22"/>
  <c r="Y12" i="22"/>
  <c r="Y17" i="22"/>
  <c r="Y7" i="22"/>
  <c r="S12" i="22"/>
  <c r="Z12" i="22"/>
  <c r="Z31" i="22"/>
  <c r="U38" i="22"/>
  <c r="Z7" i="22"/>
  <c r="R8" i="22"/>
  <c r="Y8" i="22"/>
  <c r="R11" i="22"/>
  <c r="Y11" i="22"/>
  <c r="V13" i="22"/>
  <c r="Y15" i="22"/>
  <c r="R16" i="22"/>
  <c r="Y23" i="22"/>
  <c r="AC24" i="22"/>
  <c r="S31" i="22"/>
  <c r="U32" i="22"/>
  <c r="R33" i="22"/>
  <c r="S39" i="22"/>
  <c r="R43" i="22"/>
  <c r="U46" i="22"/>
  <c r="Y46" i="22"/>
  <c r="R47" i="22"/>
  <c r="U64" i="22"/>
  <c r="V64" i="22"/>
  <c r="R64" i="22"/>
  <c r="U85" i="22"/>
  <c r="R85" i="22"/>
  <c r="Y85" i="22"/>
  <c r="V12" i="22"/>
  <c r="V17" i="22"/>
  <c r="S23" i="22"/>
  <c r="V24" i="22"/>
  <c r="U26" i="22"/>
  <c r="Y26" i="22"/>
  <c r="Y29" i="22"/>
  <c r="R29" i="22"/>
  <c r="Y38" i="22"/>
  <c r="R38" i="22"/>
  <c r="Z38" i="22"/>
  <c r="V39" i="22"/>
  <c r="U43" i="22"/>
  <c r="U47" i="22"/>
  <c r="U58" i="22"/>
  <c r="V81" i="22"/>
  <c r="Y32" i="22"/>
  <c r="R32" i="22"/>
  <c r="R12" i="22"/>
  <c r="Z22" i="22"/>
  <c r="S22" i="22"/>
  <c r="R30" i="22"/>
  <c r="S32" i="22"/>
  <c r="Y39" i="22"/>
  <c r="U44" i="22"/>
  <c r="Z45" i="22"/>
  <c r="S45" i="22"/>
  <c r="Y45" i="22"/>
  <c r="Y58" i="22"/>
  <c r="Y88" i="22"/>
  <c r="U88" i="22"/>
  <c r="R88" i="22"/>
  <c r="U25" i="22"/>
  <c r="Z17" i="22"/>
  <c r="R22" i="22"/>
  <c r="U70" i="22"/>
  <c r="Y70" i="22"/>
  <c r="R70" i="22"/>
  <c r="Y30" i="22"/>
  <c r="R17" i="22"/>
  <c r="S17" i="22"/>
  <c r="U21" i="22"/>
  <c r="U29" i="22"/>
  <c r="Z39" i="22"/>
  <c r="R45" i="22"/>
  <c r="S7" i="22"/>
  <c r="Y16" i="22"/>
  <c r="Y22" i="22"/>
  <c r="Y31" i="22"/>
  <c r="R31" i="22"/>
  <c r="R39" i="22"/>
  <c r="Y47" i="22"/>
  <c r="V58" i="22"/>
  <c r="S58" i="22"/>
  <c r="R15" i="22"/>
  <c r="V27" i="22"/>
  <c r="Y27" i="22"/>
  <c r="Y33" i="22"/>
  <c r="U78" i="22"/>
  <c r="R78" i="22"/>
  <c r="S78" i="22"/>
  <c r="D104" i="22"/>
  <c r="S8" i="22"/>
  <c r="U22" i="22"/>
  <c r="R23" i="22"/>
  <c r="Z23" i="22"/>
  <c r="Y25" i="22"/>
  <c r="R25" i="22"/>
  <c r="Z25" i="22"/>
  <c r="R27" i="22"/>
  <c r="AA27" i="22"/>
  <c r="V30" i="22"/>
  <c r="V32" i="22"/>
  <c r="S33" i="22"/>
  <c r="Y36" i="22"/>
  <c r="V40" i="22"/>
  <c r="Y40" i="22"/>
  <c r="Z44" i="22"/>
  <c r="S44" i="22"/>
  <c r="Y44" i="22"/>
  <c r="U45" i="22"/>
  <c r="R46" i="22"/>
  <c r="Y50" i="22"/>
  <c r="R50" i="22"/>
  <c r="Y52" i="22"/>
  <c r="S64" i="22"/>
  <c r="V78" i="22"/>
  <c r="Y83" i="22"/>
  <c r="R83" i="22"/>
  <c r="U83" i="22"/>
  <c r="V83" i="22"/>
  <c r="Z88" i="22"/>
  <c r="V86" i="22"/>
  <c r="U87" i="22"/>
  <c r="Z90" i="22"/>
  <c r="S90" i="22"/>
  <c r="V90" i="22"/>
  <c r="Y90" i="22"/>
  <c r="G92" i="22"/>
  <c r="W86" i="22"/>
  <c r="S63" i="22"/>
  <c r="Y63" i="22"/>
  <c r="E112" i="22"/>
  <c r="S84" i="22"/>
  <c r="Y84" i="22"/>
  <c r="U94" i="22"/>
  <c r="Y94" i="22"/>
  <c r="R94" i="22"/>
  <c r="Z91" i="22"/>
  <c r="S91" i="22"/>
  <c r="V91" i="22"/>
  <c r="Y91" i="22"/>
  <c r="W112" i="22"/>
  <c r="T48" i="22"/>
  <c r="E48" i="22"/>
  <c r="W100" i="22"/>
  <c r="W101" i="22"/>
  <c r="W77" i="22"/>
  <c r="I5" i="22"/>
  <c r="R35" i="22"/>
  <c r="Y35" i="22"/>
  <c r="S35" i="22"/>
  <c r="Z35" i="22"/>
  <c r="U35" i="22"/>
  <c r="D107" i="22"/>
  <c r="G104" i="22"/>
  <c r="F92" i="22"/>
  <c r="W92" i="22"/>
  <c r="G75" i="22"/>
  <c r="F75" i="22"/>
  <c r="Z9" i="22"/>
  <c r="U9" i="22"/>
  <c r="Y9" i="22"/>
  <c r="G107" i="22"/>
  <c r="S9" i="22"/>
  <c r="Q75" i="22"/>
  <c r="Q107" i="22"/>
  <c r="Q115" i="22"/>
  <c r="Q126" i="22"/>
  <c r="U23" i="22"/>
  <c r="V35" i="22"/>
  <c r="U36" i="22"/>
  <c r="R101" i="22"/>
  <c r="U101" i="22"/>
  <c r="Y101" i="22"/>
  <c r="V101" i="22"/>
  <c r="D113" i="22"/>
  <c r="D111" i="22"/>
  <c r="D109" i="22"/>
  <c r="D71" i="22"/>
  <c r="D68" i="22"/>
  <c r="V65" i="22"/>
  <c r="R65" i="22"/>
  <c r="U65" i="22"/>
  <c r="S65" i="22"/>
  <c r="Y65" i="22"/>
  <c r="V21" i="22"/>
  <c r="V9" i="22"/>
  <c r="U86" i="22"/>
  <c r="AB75" i="22"/>
  <c r="S61" i="22"/>
  <c r="V61" i="22"/>
  <c r="Y61" i="22"/>
  <c r="R61" i="22"/>
  <c r="U61" i="22"/>
  <c r="V72" i="22"/>
  <c r="U72" i="22"/>
  <c r="S72" i="22"/>
  <c r="R72" i="22"/>
  <c r="Y72" i="22"/>
  <c r="Z72" i="22"/>
  <c r="Y48" i="22"/>
  <c r="R48" i="22"/>
  <c r="AB46" i="22"/>
  <c r="AD46" i="22"/>
  <c r="Z48" i="22"/>
  <c r="S48" i="22"/>
  <c r="AB115" i="22"/>
  <c r="U8" i="22"/>
  <c r="V8" i="22"/>
  <c r="Y77" i="22"/>
  <c r="S77" i="22"/>
  <c r="V77" i="22"/>
  <c r="Z77" i="22"/>
  <c r="R77" i="22"/>
  <c r="U77" i="22"/>
  <c r="U102" i="22"/>
  <c r="U84" i="22"/>
  <c r="V84" i="22"/>
  <c r="E75" i="22"/>
  <c r="W75" i="22"/>
  <c r="V14" i="22"/>
  <c r="U14" i="22"/>
  <c r="T127" i="22"/>
  <c r="W48" i="22"/>
  <c r="J5" i="22"/>
  <c r="K5" i="22"/>
  <c r="L5" i="22"/>
  <c r="M5" i="22"/>
  <c r="N5" i="22"/>
  <c r="O5" i="22"/>
  <c r="P5" i="22"/>
  <c r="G115" i="22"/>
  <c r="F107" i="22"/>
  <c r="F104" i="22"/>
  <c r="S92" i="22"/>
  <c r="S100" i="22"/>
  <c r="T130" i="22"/>
  <c r="T131" i="22"/>
  <c r="Y102" i="22"/>
  <c r="R102" i="22"/>
  <c r="U112" i="22"/>
  <c r="R112" i="22"/>
  <c r="V112" i="22"/>
  <c r="Z112" i="22"/>
  <c r="Y112" i="22"/>
  <c r="S112" i="22"/>
  <c r="D115" i="22"/>
  <c r="D126" i="22"/>
  <c r="D75" i="22"/>
  <c r="E107" i="22"/>
  <c r="R100" i="22"/>
  <c r="U100" i="22"/>
  <c r="V100" i="22"/>
  <c r="Y100" i="22"/>
  <c r="Z92" i="22"/>
  <c r="R92" i="22"/>
  <c r="U92" i="22"/>
  <c r="Y92" i="22"/>
  <c r="V92" i="22"/>
  <c r="R5" i="22"/>
  <c r="S5" i="22"/>
  <c r="T5" i="22"/>
  <c r="U5" i="22"/>
  <c r="V5" i="22"/>
  <c r="X5" i="22"/>
  <c r="Y5" i="22"/>
  <c r="Z5" i="22"/>
  <c r="V48" i="22"/>
  <c r="T75" i="22"/>
  <c r="T107" i="22"/>
  <c r="V107" i="22"/>
  <c r="U48" i="22"/>
  <c r="W107" i="22"/>
  <c r="F115" i="22"/>
  <c r="G126" i="22"/>
  <c r="R107" i="22"/>
  <c r="Y107" i="22"/>
  <c r="Z107" i="22"/>
  <c r="S107" i="22"/>
  <c r="E113" i="22"/>
  <c r="E111" i="22"/>
  <c r="E109" i="22"/>
  <c r="U113" i="22"/>
  <c r="R113" i="22"/>
  <c r="Y113" i="22"/>
  <c r="Z113" i="22"/>
  <c r="S113" i="22"/>
  <c r="V113" i="22"/>
  <c r="V73" i="22"/>
  <c r="Y73" i="22"/>
  <c r="R73" i="22"/>
  <c r="U73" i="22"/>
  <c r="Z73" i="22"/>
  <c r="S73" i="22"/>
  <c r="U107" i="22"/>
  <c r="T115" i="22"/>
  <c r="W111" i="22"/>
  <c r="W113" i="22"/>
  <c r="V71" i="22"/>
  <c r="Z71" i="22"/>
  <c r="S71" i="22"/>
  <c r="Y71" i="22"/>
  <c r="U71" i="22"/>
  <c r="R71" i="22"/>
  <c r="E104" i="22"/>
  <c r="Z104" i="22"/>
  <c r="S104" i="22"/>
  <c r="U104" i="22"/>
  <c r="Y104" i="22"/>
  <c r="R104" i="22"/>
  <c r="V104" i="22"/>
  <c r="U111" i="22"/>
  <c r="R111" i="22"/>
  <c r="Z111" i="22"/>
  <c r="S111" i="22"/>
  <c r="V111" i="22"/>
  <c r="Y111" i="22"/>
  <c r="W104" i="22"/>
  <c r="E115" i="22"/>
  <c r="W109" i="22"/>
  <c r="S68" i="22"/>
  <c r="Y68" i="22"/>
  <c r="Z68" i="22"/>
  <c r="U68" i="22"/>
  <c r="V68" i="22"/>
  <c r="R68" i="22"/>
  <c r="U109" i="22"/>
  <c r="R109" i="22"/>
  <c r="Y109" i="22"/>
  <c r="S109" i="22"/>
  <c r="V109" i="22"/>
  <c r="Z109" i="22"/>
  <c r="E126" i="22"/>
  <c r="W115" i="22"/>
  <c r="U115" i="22"/>
  <c r="R115" i="22"/>
  <c r="Y115" i="22"/>
  <c r="F126" i="22"/>
  <c r="Z115" i="22"/>
  <c r="V115" i="22"/>
  <c r="S115" i="22"/>
  <c r="U75" i="22"/>
  <c r="S75" i="22"/>
  <c r="V75" i="22"/>
  <c r="Z75" i="22"/>
  <c r="Y75" i="22"/>
  <c r="R75" i="22"/>
</calcChain>
</file>

<file path=xl/sharedStrings.xml><?xml version="1.0" encoding="utf-8"?>
<sst xmlns="http://schemas.openxmlformats.org/spreadsheetml/2006/main" count="249" uniqueCount="222">
  <si>
    <t>№ п/п</t>
  </si>
  <si>
    <t>Найменування доходів</t>
  </si>
  <si>
    <t>Код бюджетної класифікації</t>
  </si>
  <si>
    <t>%</t>
  </si>
  <si>
    <t>1</t>
  </si>
  <si>
    <t>2</t>
  </si>
  <si>
    <t>ЗАГАЛЬНИЙ ФОНД</t>
  </si>
  <si>
    <t>Плата за землю</t>
  </si>
  <si>
    <t>Інші надходження</t>
  </si>
  <si>
    <t>СПЕЦІАЛЬНИЙ ФОНД</t>
  </si>
  <si>
    <t>Бюджет розвитку, в т.ч.</t>
  </si>
  <si>
    <t>Цільові фонди, утворені органами місцевого самоврядування</t>
  </si>
  <si>
    <t>Власні надходження бюджетних установ</t>
  </si>
  <si>
    <t>тис.грн.</t>
  </si>
  <si>
    <t>11010000</t>
  </si>
  <si>
    <t>22090000</t>
  </si>
  <si>
    <t>11020200</t>
  </si>
  <si>
    <t>21010300</t>
  </si>
  <si>
    <t>21080500</t>
  </si>
  <si>
    <t>22080400</t>
  </si>
  <si>
    <t>24060300</t>
  </si>
  <si>
    <t>25000000</t>
  </si>
  <si>
    <t>31030000</t>
  </si>
  <si>
    <t>50110000</t>
  </si>
  <si>
    <t>21081100</t>
  </si>
  <si>
    <t xml:space="preserve">24062100 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</si>
  <si>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</si>
  <si>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ВСЬОГО ДОХОДІВ ЗАГАЛЬНОГО ФОНДУ</t>
  </si>
  <si>
    <t>ВСЬОГО трансфертів</t>
  </si>
  <si>
    <t>Адміністративні штрафи та інші санкції</t>
  </si>
  <si>
    <t>19010000</t>
  </si>
  <si>
    <t>Екологічний податок</t>
  </si>
  <si>
    <t>Єдиний податок</t>
  </si>
  <si>
    <t>18050000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</si>
  <si>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</si>
  <si>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Податок на прибуток підприємств та фінансових установ комунальної власності</t>
  </si>
  <si>
    <t>Кошти від відчуження майна, що перебуває в комунальній власності</t>
  </si>
  <si>
    <t>18000000</t>
  </si>
  <si>
    <t>18030000</t>
  </si>
  <si>
    <t>Туристичний збір</t>
  </si>
  <si>
    <t>ВСЬОГО ДОХОДІВ ЗАГАЛЬНОГО ТА СПЕЦІАЛЬНОГО ФОНДІВ</t>
  </si>
  <si>
    <t>ВСЬОГО ДОХОДІВ СПЕЦІАЛЬНОГО ФОНДУ</t>
  </si>
  <si>
    <t>33010000</t>
  </si>
  <si>
    <t>18010000</t>
  </si>
  <si>
    <t>24170000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</si>
  <si>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</si>
  <si>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24062200</t>
  </si>
  <si>
    <t xml:space="preserve"> </t>
  </si>
  <si>
    <t>Власні і закіплені З Ф</t>
  </si>
  <si>
    <t>Власні і закіплені С Ф</t>
  </si>
  <si>
    <t>Вього СФ</t>
  </si>
  <si>
    <t>вик.: Серветник М.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</si>
  <si>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</si>
  <si>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Державне мито</t>
  </si>
  <si>
    <t>41033900</t>
  </si>
  <si>
    <t>14040000</t>
  </si>
  <si>
    <t>Податок на нерухоме майно, відмінне від земельної ділянки</t>
  </si>
  <si>
    <t>Транспортний податок</t>
  </si>
  <si>
    <t>Плата за надання інших адміністративних послуг</t>
  </si>
  <si>
    <t>22012500</t>
  </si>
  <si>
    <t>Надходження сум кредиторської та депонентської заборгованості</t>
  </si>
  <si>
    <t>24030000</t>
  </si>
  <si>
    <t>січень</t>
  </si>
  <si>
    <t>24110700</t>
  </si>
  <si>
    <t>Податок та збір на доходи фізичних осіб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</si>
  <si>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</t>
  </si>
  <si>
    <t>24110900</t>
  </si>
  <si>
    <t>Кошти від продажу землі</t>
  </si>
  <si>
    <t>21050000</t>
  </si>
  <si>
    <t>Плата за розміщення тимчасово вільних коштів місцевих бюджетів</t>
  </si>
  <si>
    <t>41034900</t>
  </si>
  <si>
    <t>Субвенції, з них: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</si>
  <si>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</si>
  <si>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</si>
  <si>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22012600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</si>
  <si>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</si>
  <si>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пов'язаних з такою державною реєстрацією</t>
  </si>
  <si>
    <t>Адміністративний збір за державну реєстрацію речових прав на нерухоме майно та їх обтяжень</t>
  </si>
  <si>
    <t>21081500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</si>
  <si>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</si>
  <si>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22010000</t>
  </si>
  <si>
    <t>Плата за надання адміністративних послуг:</t>
  </si>
  <si>
    <t>31020000</t>
  </si>
  <si>
    <t>Надходження коштів від Державного фонду дорогоцінних металів і дорогоцінного каміння</t>
  </si>
  <si>
    <t>Надходження коштів від відшкодування втрат сільськогосподарського і лісогосподарського виробництва</t>
  </si>
  <si>
    <t>14021900</t>
  </si>
  <si>
    <t>14031900</t>
  </si>
  <si>
    <t>14000000</t>
  </si>
  <si>
    <t>Внутрішні податки на товари та послуги, в тому числі: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</si>
  <si>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</t>
  </si>
  <si>
    <t>21080900</t>
  </si>
  <si>
    <t>Акцизний податок з вироблених в Україні підакцизних товарів (продукції) (Пальне)</t>
  </si>
  <si>
    <t>Акцизний податок з ввезених на митну територію України підакцизних товарів (продукції) (Пальне)</t>
  </si>
  <si>
    <t>Акцизний податок з реалізації суб'єктами господарювання роздрібної торгівлі підакцизних товарів</t>
  </si>
  <si>
    <t>22130000</t>
  </si>
  <si>
    <t>Орендна плата за водні об'єкти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</si>
  <si>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з них: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</si>
  <si>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</si>
  <si>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13010200</t>
  </si>
  <si>
    <t>- з місцевого бюджету (ККД 41050000)</t>
  </si>
  <si>
    <t>-з державного бюджету (ККД 41030000)</t>
  </si>
  <si>
    <t>13030100</t>
  </si>
  <si>
    <t>Рентна плата та плата за використання інших природних ресурсів</t>
  </si>
  <si>
    <t>13000000</t>
  </si>
  <si>
    <t>3.1.</t>
  </si>
  <si>
    <t>3.2.</t>
  </si>
  <si>
    <t>3.3.</t>
  </si>
  <si>
    <t>Плата за встановлення земельного сервітуту</t>
  </si>
  <si>
    <t>21081700</t>
  </si>
  <si>
    <t>41040200</t>
  </si>
  <si>
    <t>41053900</t>
  </si>
  <si>
    <t>Дотації з місцевих бюджетів іншим місцевим бюджетам</t>
  </si>
  <si>
    <t xml:space="preserve">Надходження від плати за послуги, що надаються бюджетними установами згідно із законодавством </t>
  </si>
  <si>
    <t>25010000</t>
  </si>
  <si>
    <t xml:space="preserve">Інші джерела власних надходжень бюджетних установ  </t>
  </si>
  <si>
    <t>25020000</t>
  </si>
  <si>
    <t>1.1.</t>
  </si>
  <si>
    <t>1.2.</t>
  </si>
  <si>
    <t>41051000</t>
  </si>
  <si>
    <t>4.1.</t>
  </si>
  <si>
    <t>4.2.</t>
  </si>
  <si>
    <t>4.3.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</si>
  <si>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</si>
  <si>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</si>
  <si>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r>
      <rPr>
        <b/>
        <u/>
        <sz val="15"/>
        <rFont val="Times New Roman"/>
        <family val="1"/>
        <charset val="204"/>
      </rPr>
      <t>Освітня субвенція з державного бюджету</t>
    </r>
    <r>
      <rPr>
        <sz val="15"/>
        <rFont val="Times New Roman"/>
        <family val="1"/>
        <charset val="204"/>
      </rPr>
      <t xml:space="preserve"> місцевим бюджетам</t>
    </r>
  </si>
  <si>
    <r>
      <rPr>
        <b/>
        <sz val="15"/>
        <rFont val="Times New Roman"/>
        <family val="1"/>
        <charset val="204"/>
      </rPr>
      <t>Дотація з місцевого бюджету</t>
    </r>
    <r>
      <rPr>
        <sz val="15"/>
        <rFont val="Times New Roman"/>
        <family val="1"/>
        <charset val="204"/>
      </rPr>
      <t xml:space="preserve">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  </r>
  </si>
  <si>
    <r>
      <rPr>
        <b/>
        <u/>
        <sz val="15"/>
        <rFont val="Times New Roman Cyr"/>
        <charset val="204"/>
      </rPr>
      <t xml:space="preserve">Інші субвенції </t>
    </r>
    <r>
      <rPr>
        <sz val="15"/>
        <rFont val="Times New Roman Cyr"/>
        <charset val="204"/>
      </rPr>
      <t>з місцевого бюджету</t>
    </r>
  </si>
  <si>
    <t>41055000</t>
  </si>
  <si>
    <r>
      <t xml:space="preserve">Субвенція з місцевого бюджету </t>
    </r>
    <r>
      <rPr>
        <b/>
        <u/>
        <sz val="15"/>
        <rFont val="Times New Roman"/>
        <family val="1"/>
        <charset val="204"/>
      </rPr>
      <t>на здійснення переданих видатків у сфері освіти за рахунок коштів освітньої субвенції</t>
    </r>
  </si>
  <si>
    <r>
      <t xml:space="preserve">Субвенція з місцевого бюджету </t>
    </r>
    <r>
      <rPr>
        <b/>
        <u/>
        <sz val="15"/>
        <rFont val="Times New Roman"/>
        <family val="1"/>
        <charset val="204"/>
      </rPr>
      <t>на надання державної підтримки особам з особливими освітніми потребами</t>
    </r>
    <r>
      <rPr>
        <sz val="15"/>
        <rFont val="Times New Roman"/>
        <family val="1"/>
        <charset val="204"/>
      </rPr>
      <t xml:space="preserve"> за рахунок відповідної субвенції з державного бюджету</t>
    </r>
  </si>
  <si>
    <r>
      <t xml:space="preserve">Субвенція з державного бюджету місцевим бюджетам </t>
    </r>
    <r>
      <rPr>
        <b/>
        <u/>
        <sz val="15"/>
        <rFont val="Times New Roman"/>
        <family val="1"/>
        <charset val="204"/>
      </rPr>
      <t>на реформуваннярегіональних систем охорони здоров’я для здійснення заходів з виконання спільного з Міжнародним банком реконструкції та розвитку</t>
    </r>
    <r>
      <rPr>
        <sz val="15"/>
        <rFont val="Times New Roman"/>
        <family val="1"/>
        <charset val="204"/>
      </rPr>
      <t xml:space="preserve"> проекту «Поліпшення охорони здоров’я на службі у людей»</t>
    </r>
  </si>
  <si>
    <t>6.1.</t>
  </si>
  <si>
    <t>6.2.</t>
  </si>
  <si>
    <t>6.3.</t>
  </si>
  <si>
    <t>6.4.</t>
  </si>
  <si>
    <t>13040100</t>
  </si>
  <si>
    <t xml:space="preserve">Рентна плата за користування надрами для видобування корисних копалин місцевого значення </t>
  </si>
  <si>
    <t xml:space="preserve">Рентна плата за користування надрами для видобування інших корисних копалин загальнодержавного значення </t>
  </si>
  <si>
    <t>Плата за гарантії, надані Верховною Радою Автономної Республіки Крим, міськими та обласними радами</t>
  </si>
  <si>
    <t>13.1.</t>
  </si>
  <si>
    <t>13.2.</t>
  </si>
  <si>
    <t>13.3.</t>
  </si>
  <si>
    <t>13.4.</t>
  </si>
  <si>
    <t>ВСЬОГО ДОХОДІВ ЗАГАЛЬНОГО 
ТА СПЕЦІАЛЬНОГО ФОНДІВ</t>
  </si>
  <si>
    <r>
      <t xml:space="preserve">Субвенція з місцевого бюджету </t>
    </r>
    <r>
      <rPr>
        <b/>
        <u/>
        <sz val="15"/>
        <rFont val="Times New Roman Cyr"/>
        <charset val="204"/>
      </rPr>
      <t>на здійснення підтримки окремих закладів та заходів у системі охорони здоров'я</t>
    </r>
    <r>
      <rPr>
        <sz val="15"/>
        <rFont val="Times New Roman Cyr"/>
        <charset val="204"/>
      </rPr>
      <t xml:space="preserve"> за рахунок відповідної субвенції з державного бюджету</t>
    </r>
  </si>
  <si>
    <r>
      <t xml:space="preserve">* на відшкодування витрат </t>
    </r>
    <r>
      <rPr>
        <b/>
        <i/>
        <u/>
        <sz val="15"/>
        <rFont val="Times New Roman Cyr"/>
        <charset val="204"/>
      </rPr>
      <t>на поховання учасників бойових дій та осіб з інвалідністю внаслідок війни</t>
    </r>
  </si>
  <si>
    <r>
      <t xml:space="preserve">* на пільгове медичне обслуговування  громадян, які </t>
    </r>
    <r>
      <rPr>
        <b/>
        <i/>
        <u/>
        <sz val="15"/>
        <rFont val="Times New Roman Cyr"/>
        <charset val="204"/>
      </rPr>
      <t>постраждали внаслідок Чорнобильської катастрофи</t>
    </r>
  </si>
  <si>
    <r>
      <t>* на компенсаційні</t>
    </r>
    <r>
      <rPr>
        <b/>
        <i/>
        <u/>
        <sz val="15"/>
        <rFont val="Times New Roman Cyr"/>
        <charset val="204"/>
      </rPr>
      <t xml:space="preserve"> виплати особам з інвалідністю на бензин (пальне), ремонт, техобслуговування автотранспорту </t>
    </r>
    <r>
      <rPr>
        <i/>
        <sz val="15"/>
        <rFont val="Times New Roman Cyr"/>
        <charset val="204"/>
      </rPr>
      <t>та на транспортне обслуговування, встановлення телефонів особам з інвалідністю І та ІІ груп</t>
    </r>
  </si>
  <si>
    <r>
      <t xml:space="preserve">* для забезпечення витратними матеріалами (кардіовиробами) хворих області в </t>
    </r>
    <r>
      <rPr>
        <b/>
        <i/>
        <u/>
        <sz val="15"/>
        <rFont val="Times New Roman Cyr"/>
        <charset val="204"/>
      </rPr>
      <t>КНП "Вінницький регіональний клінічний лікувально-діагностичний центр серцево-судинної патології"</t>
    </r>
  </si>
  <si>
    <t>Бюджет 
на 2022 рік</t>
  </si>
  <si>
    <t xml:space="preserve">Рентна плата за спеціальне використання лісових ресурсів в частині деревини, заготовленої в порядку рубок головного користування </t>
  </si>
  <si>
    <t>13010100</t>
  </si>
  <si>
    <t>3.4.</t>
  </si>
  <si>
    <t>Кошти гарантійного та реєстраційного внесків, що визначені Законом України 'Про оренду державного та комунального майна', які підлягають перерахуванню оператором електронного майданчика до відповідного бюджету</t>
  </si>
  <si>
    <t>21082400</t>
  </si>
  <si>
    <t>Надходження коштів пайової участі у розвитку інфраструктури населеного пункту</t>
  </si>
  <si>
    <t>Місцеві податки та збори, що сплачуються (перераховуються) згідно з Податковим кодексом України</t>
  </si>
  <si>
    <t>Всього власних доходів</t>
  </si>
  <si>
    <t>лютий</t>
  </si>
  <si>
    <t xml:space="preserve">Місцеві податки, нараховані до 1 січня 2011 року   </t>
  </si>
  <si>
    <t>16012200</t>
  </si>
  <si>
    <t>12020900</t>
  </si>
  <si>
    <t>19050200</t>
  </si>
  <si>
    <t xml:space="preserve">Податок з власників наземних, водних транспортних засобів та інших самохідних машин і механізмів   </t>
  </si>
  <si>
    <t xml:space="preserve">Інші збори за забруднення навколишнього природного середовища до Фонду охорони навколишнього природного середовища   </t>
  </si>
  <si>
    <t>8.1.</t>
  </si>
  <si>
    <t>8.2.</t>
  </si>
  <si>
    <t>8.3.</t>
  </si>
  <si>
    <t>8.4.</t>
  </si>
  <si>
    <t>6.5.</t>
  </si>
  <si>
    <t>15.1.</t>
  </si>
  <si>
    <t>15.2.</t>
  </si>
  <si>
    <t>15.3.</t>
  </si>
  <si>
    <t>15.4.</t>
  </si>
  <si>
    <t>березень</t>
  </si>
  <si>
    <t>квітень</t>
  </si>
  <si>
    <t>травень</t>
  </si>
  <si>
    <r>
      <t xml:space="preserve">Субвенція з державного бюджету місцевим бюджетам </t>
    </r>
    <r>
      <rPr>
        <b/>
        <u/>
        <sz val="15"/>
        <rFont val="Times New Roman"/>
        <family val="1"/>
        <charset val="204"/>
      </rPr>
      <t>на здійснення заходів щодо соціально-економічного розвитку</t>
    </r>
    <r>
      <rPr>
        <sz val="15"/>
        <rFont val="Times New Roman"/>
        <family val="1"/>
        <charset val="204"/>
      </rPr>
      <t xml:space="preserve"> окремих територій</t>
    </r>
  </si>
  <si>
    <t>41034500</t>
  </si>
  <si>
    <r>
      <t xml:space="preserve">*субвенція з </t>
    </r>
    <r>
      <rPr>
        <b/>
        <i/>
        <u/>
        <sz val="15"/>
        <rFont val="Times New Roman Cyr"/>
        <charset val="204"/>
      </rPr>
      <t xml:space="preserve">бюджету Вороновицької </t>
    </r>
    <r>
      <rPr>
        <i/>
        <sz val="15"/>
        <rFont val="Times New Roman Cyr"/>
        <charset val="204"/>
      </rPr>
      <t xml:space="preserve">селищної територіальної громади для проведення технічного обстеження на предмет оцінки доступності осіб з інвалідністю та інших маломобільних груп населення до вхідної групи та внутрішніх приміщень будівлі терапевтичного та хірургічного відділень №2, </t>
    </r>
    <r>
      <rPr>
        <b/>
        <i/>
        <u/>
        <sz val="15"/>
        <rFont val="Times New Roman Cyr"/>
        <charset val="204"/>
      </rPr>
      <t>КНП «Вінницька клінічна багатопрофільна лікарня» Вінницької міської ради,</t>
    </r>
    <r>
      <rPr>
        <i/>
        <sz val="15"/>
        <rFont val="Times New Roman Cyr"/>
        <charset val="204"/>
      </rPr>
      <t xml:space="preserve"> яка знаходиться за адресою: Вінницька область, смт Вороновиця, вул. Гагаріна, буд.20</t>
    </r>
  </si>
  <si>
    <t>Уточнений бюджет на 2022 рік</t>
  </si>
  <si>
    <t>червень</t>
  </si>
  <si>
    <t>липень</t>
  </si>
  <si>
    <r>
      <rPr>
        <b/>
        <u/>
        <sz val="15"/>
        <rFont val="Times New Roman"/>
        <family val="1"/>
        <charset val="204"/>
      </rPr>
      <t>Інші дотації</t>
    </r>
    <r>
      <rPr>
        <sz val="15"/>
        <rFont val="Times New Roman"/>
        <family val="1"/>
        <charset val="204"/>
      </rPr>
      <t xml:space="preserve"> з місцевого бюджету</t>
    </r>
  </si>
  <si>
    <t>серпень</t>
  </si>
  <si>
    <t>14040100</t>
  </si>
  <si>
    <t>14040200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</si>
  <si>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</si>
  <si>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суб’єктами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</si>
  <si>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4.3.1.</t>
  </si>
  <si>
    <t>4.3.2.</t>
  </si>
  <si>
    <r>
      <t xml:space="preserve">Субвенція з місцевого бюджету на забезпечення якісної, сучасної та доступної загальної середньої освіти </t>
    </r>
    <r>
      <rPr>
        <b/>
        <u/>
        <sz val="15"/>
        <rFont val="Times New Roman"/>
        <family val="1"/>
        <charset val="204"/>
      </rPr>
      <t>"Нова українська школа"</t>
    </r>
    <r>
      <rPr>
        <sz val="15"/>
        <rFont val="Times New Roman"/>
        <family val="1"/>
        <charset val="204"/>
      </rPr>
      <t xml:space="preserve"> за рахунок відповідної субвенції з державного бюджету</t>
    </r>
  </si>
  <si>
    <t>41051400</t>
  </si>
  <si>
    <r>
      <t xml:space="preserve">Субвенція з місцевого бюджету </t>
    </r>
    <r>
      <rPr>
        <b/>
        <u/>
        <sz val="15"/>
        <rFont val="Times New Roman"/>
        <family val="1"/>
        <charset val="204"/>
      </rPr>
      <t>на фінансове забезпечення будівництва, реконструкції, ремонту і утримання автомобільних доріг</t>
    </r>
    <r>
      <rPr>
        <sz val="15"/>
        <rFont val="Times New Roman"/>
        <family val="1"/>
        <charset val="204"/>
      </rPr>
      <t xml:space="preserve"> загального користування місцевого значення, вулиць і доріг комунальної власності у населених пунктах за рахунок відповідної субвенції з державного бюджету</t>
    </r>
  </si>
  <si>
    <t>41052600</t>
  </si>
  <si>
    <t>вересень</t>
  </si>
  <si>
    <t>Субвенція з місцевого бюджету на виплату грошової компенсації за належні для отримання жилі приміщення для сімей загиблих осіб, визначених абзацами 5 - 8 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</si>
  <si>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41050400</t>
  </si>
  <si>
    <t>Субвенція з місцевого бюджету на виплату грошової компенсації за належні для отримання жилі приміщення для сімей загиблих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які стали інвалідами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</si>
  <si>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41050500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</si>
  <si>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безпосереденьо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</si>
  <si>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41050600</t>
  </si>
  <si>
    <t>Субвенція з державного бюджету місцевим бюджетам на реалізацію програми "Спроможна школа для кращих результатів"</t>
  </si>
  <si>
    <t>41032700</t>
  </si>
  <si>
    <t>13.5.</t>
  </si>
  <si>
    <t>13.6.</t>
  </si>
  <si>
    <r>
      <rPr>
        <b/>
        <u/>
        <sz val="15"/>
        <rFont val="Times New Roman Cyr"/>
        <charset val="204"/>
      </rPr>
      <t xml:space="preserve">Інші субвенції </t>
    </r>
    <r>
      <rPr>
        <sz val="15"/>
        <rFont val="Times New Roman Cyr"/>
        <charset val="204"/>
      </rPr>
      <t>з місцевого бюджету:</t>
    </r>
  </si>
  <si>
    <t>* на будівництво мережі каналізації на території приватного сектору квартального комітету «Добробут» мікрорайону «Старе місто» в м.Вінниці</t>
  </si>
  <si>
    <t>* на капітальний ремонт по очистці р.Південний Буг</t>
  </si>
  <si>
    <t>жовтень</t>
  </si>
  <si>
    <t>План на січень - жовтень 2022 року</t>
  </si>
  <si>
    <t>Відхилення надходжень до бюджету на січень - жовтень 2022 року</t>
  </si>
  <si>
    <t>План на січень - жовтень 2022р. (розрахунковий)</t>
  </si>
  <si>
    <t xml:space="preserve">Відхилення надходжень до бюджету на січень - жовтень 2022 року (розрахунковий) </t>
  </si>
  <si>
    <t>Надійшло за січень - жовтень 2021р.</t>
  </si>
  <si>
    <t>Відхилення факту січня - жовтень 2022р. від факту січня - жовтень 2021р.</t>
  </si>
  <si>
    <t>Надійшло за січень - жовтень 2022р.</t>
  </si>
  <si>
    <t>% виконання до плану на 2022р. (норма 83,3%)</t>
  </si>
  <si>
    <r>
      <t xml:space="preserve">*субвенція з обласного бюджету на компенсаційні виплати </t>
    </r>
    <r>
      <rPr>
        <b/>
        <i/>
        <u/>
        <sz val="15"/>
        <rFont val="Times New Roman Cyr"/>
        <charset val="204"/>
      </rPr>
      <t>за пільговий проїзд окремих категорій громадян на міжміських внутрішньообласних маршрутах</t>
    </r>
    <r>
      <rPr>
        <i/>
        <sz val="15"/>
        <rFont val="Times New Roman Cyr"/>
        <charset val="204"/>
      </rPr>
      <t xml:space="preserve"> загального користування</t>
    </r>
  </si>
  <si>
    <t>Аналіз виконання бюджету Вінницької міської територіальної громади за січень - жовтень 2022 року (за місячним казначейським звітом)</t>
  </si>
  <si>
    <t>Директор департаменту фінансів</t>
  </si>
  <si>
    <t>Наталія ЛУЦЕНКО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</si>
</sst>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#,##0.000"/>
    <numFmt numFmtId="167" formatCode="#,##0.00000"/>
    <numFmt numFmtId="168" formatCode="#,##0.0"/>
  </numFmts>
  <fonts count="48" x14ac:knownFonts="1">
    <font>
      <sz val="10"/>
      <name val="Arial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charset val="204"/>
    </font>
    <font>
      <i/>
      <sz val="12"/>
      <name val="Times New Roman Cyr"/>
      <charset val="204"/>
    </font>
    <font>
      <sz val="14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i/>
      <sz val="16"/>
      <name val="Times New Roman Cyr"/>
      <charset val="204"/>
    </font>
    <font>
      <sz val="16"/>
      <name val="Times New Roman"/>
      <family val="1"/>
      <charset val="204"/>
    </font>
    <font>
      <b/>
      <sz val="24"/>
      <name val="Times New Roman Cyr"/>
      <family val="1"/>
      <charset val="204"/>
    </font>
    <font>
      <b/>
      <sz val="24"/>
      <name val="Times New Roman Cyr"/>
      <charset val="204"/>
    </font>
    <font>
      <sz val="24"/>
      <name val="Times New Roman Cyr"/>
      <charset val="204"/>
    </font>
    <font>
      <sz val="11"/>
      <name val="Times New Roman Cyr"/>
      <charset val="204"/>
    </font>
    <font>
      <b/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2"/>
      <name val="Times New Roman Cyr"/>
      <charset val="204"/>
    </font>
    <font>
      <b/>
      <sz val="12"/>
      <name val="Times New Roman Cyr"/>
      <family val="1"/>
      <charset val="204"/>
    </font>
    <font>
      <i/>
      <sz val="16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 Cyr"/>
      <charset val="204"/>
    </font>
    <font>
      <b/>
      <sz val="18"/>
      <name val="Times New Roman"/>
      <family val="1"/>
      <charset val="204"/>
    </font>
    <font>
      <b/>
      <sz val="18"/>
      <name val="Times New Roman Cyr"/>
      <family val="1"/>
      <charset val="204"/>
    </font>
    <font>
      <sz val="10"/>
      <name val="Arial"/>
      <family val="2"/>
      <charset val="204"/>
    </font>
    <font>
      <sz val="15"/>
      <name val="Times New Roman Cyr"/>
      <charset val="204"/>
    </font>
    <font>
      <b/>
      <i/>
      <sz val="18"/>
      <name val="Times New Roman"/>
      <family val="1"/>
      <charset val="204"/>
    </font>
    <font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i/>
      <sz val="15"/>
      <name val="Times New Roman Cyr"/>
      <charset val="204"/>
    </font>
    <font>
      <b/>
      <u/>
      <sz val="15"/>
      <name val="Times New Roman"/>
      <family val="1"/>
      <charset val="204"/>
    </font>
    <font>
      <b/>
      <i/>
      <u/>
      <sz val="15"/>
      <name val="Times New Roman Cyr"/>
      <charset val="204"/>
    </font>
    <font>
      <b/>
      <u/>
      <sz val="15"/>
      <name val="Times New Roman Cyr"/>
      <charset val="204"/>
    </font>
    <font>
      <b/>
      <sz val="19"/>
      <name val="Times New Roman Cyr"/>
      <charset val="204"/>
    </font>
    <font>
      <b/>
      <sz val="19"/>
      <name val="Times New Roman"/>
      <family val="1"/>
      <charset val="204"/>
    </font>
    <font>
      <i/>
      <sz val="18"/>
      <name val="Times New Roman Cyr"/>
      <charset val="204"/>
    </font>
    <font>
      <b/>
      <sz val="15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35" fillId="0" borderId="0"/>
  </cellStyleXfs>
  <cellXfs count="199">
    <xf numFmtId="0" fontId="0" fillId="0" borderId="0" xfId="0"/>
    <xf numFmtId="0" fontId="2" fillId="0" borderId="0" xfId="2" applyFont="1" applyFill="1" applyBorder="1" applyAlignment="1">
      <alignment horizontal="center" vertical="center" wrapText="1"/>
    </xf>
    <xf numFmtId="0" fontId="4" fillId="0" borderId="0" xfId="2" applyFont="1" applyFill="1" applyBorder="1"/>
    <xf numFmtId="0" fontId="2" fillId="0" borderId="0" xfId="2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center" vertical="center" wrapText="1"/>
    </xf>
    <xf numFmtId="49" fontId="6" fillId="0" borderId="0" xfId="1" applyNumberFormat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center" vertical="center" wrapText="1"/>
    </xf>
    <xf numFmtId="0" fontId="6" fillId="0" borderId="0" xfId="1" applyFont="1" applyFill="1" applyBorder="1"/>
    <xf numFmtId="165" fontId="20" fillId="0" borderId="1" xfId="1" applyNumberFormat="1" applyFont="1" applyFill="1" applyBorder="1" applyAlignment="1">
      <alignment horizontal="center" vertical="center" wrapText="1"/>
    </xf>
    <xf numFmtId="0" fontId="4" fillId="0" borderId="0" xfId="1" applyFont="1" applyFill="1" applyBorder="1"/>
    <xf numFmtId="49" fontId="21" fillId="0" borderId="1" xfId="1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0" fontId="5" fillId="0" borderId="0" xfId="1" applyFont="1" applyFill="1" applyBorder="1"/>
    <xf numFmtId="0" fontId="14" fillId="0" borderId="1" xfId="1" applyFont="1" applyFill="1" applyBorder="1" applyAlignment="1">
      <alignment horizontal="center" vertical="center"/>
    </xf>
    <xf numFmtId="0" fontId="9" fillId="0" borderId="0" xfId="1" applyFont="1" applyFill="1" applyBorder="1"/>
    <xf numFmtId="0" fontId="23" fillId="0" borderId="1" xfId="1" applyFont="1" applyFill="1" applyBorder="1" applyAlignment="1">
      <alignment horizontal="left" vertical="center" wrapText="1"/>
    </xf>
    <xf numFmtId="49" fontId="22" fillId="0" borderId="1" xfId="1" applyNumberFormat="1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/>
    </xf>
    <xf numFmtId="0" fontId="18" fillId="0" borderId="0" xfId="2" applyFont="1" applyFill="1"/>
    <xf numFmtId="0" fontId="2" fillId="0" borderId="0" xfId="2" applyFont="1" applyFill="1"/>
    <xf numFmtId="0" fontId="18" fillId="0" borderId="0" xfId="2" applyFont="1" applyFill="1" applyBorder="1"/>
    <xf numFmtId="0" fontId="17" fillId="0" borderId="0" xfId="2" applyFont="1" applyFill="1"/>
    <xf numFmtId="0" fontId="3" fillId="0" borderId="0" xfId="2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 wrapText="1"/>
    </xf>
    <xf numFmtId="49" fontId="20" fillId="0" borderId="1" xfId="1" applyNumberFormat="1" applyFont="1" applyFill="1" applyBorder="1" applyAlignment="1">
      <alignment horizontal="center" vertical="center" wrapText="1"/>
    </xf>
    <xf numFmtId="0" fontId="26" fillId="0" borderId="0" xfId="1" applyFont="1" applyFill="1" applyBorder="1"/>
    <xf numFmtId="49" fontId="14" fillId="0" borderId="1" xfId="1" applyNumberFormat="1" applyFont="1" applyFill="1" applyBorder="1" applyAlignment="1">
      <alignment horizontal="center" vertical="center"/>
    </xf>
    <xf numFmtId="0" fontId="7" fillId="0" borderId="0" xfId="2" applyFont="1" applyFill="1"/>
    <xf numFmtId="0" fontId="4" fillId="0" borderId="0" xfId="2" applyFont="1" applyFill="1"/>
    <xf numFmtId="0" fontId="19" fillId="0" borderId="0" xfId="2" applyFont="1" applyFill="1"/>
    <xf numFmtId="0" fontId="12" fillId="0" borderId="0" xfId="1" applyFont="1" applyFill="1" applyBorder="1"/>
    <xf numFmtId="0" fontId="2" fillId="2" borderId="0" xfId="2" applyFont="1" applyFill="1" applyBorder="1"/>
    <xf numFmtId="49" fontId="13" fillId="0" borderId="1" xfId="2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  <xf numFmtId="0" fontId="27" fillId="0" borderId="0" xfId="1" applyFont="1" applyFill="1" applyBorder="1"/>
    <xf numFmtId="0" fontId="12" fillId="0" borderId="0" xfId="1" applyFont="1" applyFill="1" applyBorder="1" applyAlignment="1">
      <alignment horizontal="center" vertical="center"/>
    </xf>
    <xf numFmtId="0" fontId="23" fillId="0" borderId="0" xfId="1" applyFont="1" applyFill="1" applyBorder="1" applyAlignment="1">
      <alignment horizontal="left" vertical="center" wrapText="1"/>
    </xf>
    <xf numFmtId="49" fontId="20" fillId="0" borderId="0" xfId="1" applyNumberFormat="1" applyFont="1" applyFill="1" applyBorder="1" applyAlignment="1">
      <alignment horizontal="center" vertical="center" wrapText="1"/>
    </xf>
    <xf numFmtId="166" fontId="20" fillId="0" borderId="0" xfId="1" applyNumberFormat="1" applyFont="1" applyFill="1" applyBorder="1" applyAlignment="1">
      <alignment horizontal="center" vertical="center" wrapText="1"/>
    </xf>
    <xf numFmtId="0" fontId="15" fillId="0" borderId="1" xfId="1" applyNumberFormat="1" applyFont="1" applyFill="1" applyBorder="1" applyAlignment="1">
      <alignment horizontal="left" vertical="center" wrapText="1"/>
    </xf>
    <xf numFmtId="0" fontId="28" fillId="0" borderId="1" xfId="1" applyFont="1" applyFill="1" applyBorder="1" applyAlignment="1">
      <alignment horizontal="center" vertical="center"/>
    </xf>
    <xf numFmtId="0" fontId="29" fillId="0" borderId="0" xfId="1" applyFont="1" applyFill="1" applyBorder="1"/>
    <xf numFmtId="166" fontId="4" fillId="0" borderId="0" xfId="1" applyNumberFormat="1" applyFont="1" applyFill="1" applyBorder="1"/>
    <xf numFmtId="49" fontId="25" fillId="0" borderId="1" xfId="1" applyNumberFormat="1" applyFont="1" applyFill="1" applyBorder="1" applyAlignment="1">
      <alignment horizontal="left" vertical="center" wrapText="1"/>
    </xf>
    <xf numFmtId="164" fontId="4" fillId="0" borderId="0" xfId="1" applyNumberFormat="1" applyFont="1" applyFill="1" applyBorder="1"/>
    <xf numFmtId="0" fontId="32" fillId="2" borderId="1" xfId="1" applyFont="1" applyFill="1" applyBorder="1" applyAlignment="1">
      <alignment horizontal="center" vertical="center"/>
    </xf>
    <xf numFmtId="2" fontId="33" fillId="2" borderId="1" xfId="1" applyNumberFormat="1" applyFont="1" applyFill="1" applyBorder="1" applyAlignment="1">
      <alignment horizontal="center" vertical="center" wrapText="1"/>
    </xf>
    <xf numFmtId="166" fontId="33" fillId="2" borderId="1" xfId="1" applyNumberFormat="1" applyFont="1" applyFill="1" applyBorder="1" applyAlignment="1">
      <alignment horizontal="center" vertical="center" wrapText="1"/>
    </xf>
    <xf numFmtId="0" fontId="32" fillId="2" borderId="0" xfId="1" applyFont="1" applyFill="1" applyBorder="1"/>
    <xf numFmtId="0" fontId="33" fillId="2" borderId="1" xfId="1" applyFont="1" applyFill="1" applyBorder="1" applyAlignment="1">
      <alignment horizontal="center" vertical="center" wrapText="1"/>
    </xf>
    <xf numFmtId="0" fontId="34" fillId="2" borderId="1" xfId="1" applyFont="1" applyFill="1" applyBorder="1" applyAlignment="1">
      <alignment horizontal="center" vertical="center"/>
    </xf>
    <xf numFmtId="49" fontId="33" fillId="2" borderId="1" xfId="1" applyNumberFormat="1" applyFont="1" applyFill="1" applyBorder="1" applyAlignment="1">
      <alignment horizontal="center" vertical="center" wrapText="1"/>
    </xf>
    <xf numFmtId="0" fontId="34" fillId="2" borderId="0" xfId="1" applyFont="1" applyFill="1" applyBorder="1"/>
    <xf numFmtId="0" fontId="32" fillId="0" borderId="1" xfId="1" applyFont="1" applyFill="1" applyBorder="1" applyAlignment="1">
      <alignment horizontal="center" vertical="center"/>
    </xf>
    <xf numFmtId="0" fontId="33" fillId="0" borderId="1" xfId="1" applyFont="1" applyFill="1" applyBorder="1" applyAlignment="1">
      <alignment horizontal="left" vertical="center" wrapText="1"/>
    </xf>
    <xf numFmtId="49" fontId="33" fillId="0" borderId="1" xfId="1" applyNumberFormat="1" applyFont="1" applyFill="1" applyBorder="1" applyAlignment="1">
      <alignment horizontal="center" vertical="center" wrapText="1"/>
    </xf>
    <xf numFmtId="166" fontId="33" fillId="0" borderId="1" xfId="1" applyNumberFormat="1" applyFont="1" applyFill="1" applyBorder="1" applyAlignment="1">
      <alignment horizontal="center" vertical="center" wrapText="1"/>
    </xf>
    <xf numFmtId="0" fontId="32" fillId="0" borderId="0" xfId="1" applyFont="1" applyFill="1" applyBorder="1"/>
    <xf numFmtId="0" fontId="33" fillId="0" borderId="1" xfId="1" applyFont="1" applyFill="1" applyBorder="1" applyAlignment="1">
      <alignment horizontal="center" vertical="center" wrapText="1"/>
    </xf>
    <xf numFmtId="0" fontId="32" fillId="0" borderId="1" xfId="1" applyFont="1" applyFill="1" applyBorder="1" applyAlignment="1">
      <alignment vertical="center"/>
    </xf>
    <xf numFmtId="0" fontId="18" fillId="2" borderId="0" xfId="2" applyFont="1" applyFill="1" applyBorder="1"/>
    <xf numFmtId="0" fontId="24" fillId="0" borderId="1" xfId="1" applyFont="1" applyFill="1" applyBorder="1" applyAlignment="1">
      <alignment horizontal="left" vertical="center" wrapText="1"/>
    </xf>
    <xf numFmtId="0" fontId="11" fillId="0" borderId="0" xfId="1" applyFont="1" applyFill="1" applyBorder="1"/>
    <xf numFmtId="166" fontId="12" fillId="0" borderId="0" xfId="1" applyNumberFormat="1" applyFont="1" applyFill="1" applyBorder="1"/>
    <xf numFmtId="0" fontId="14" fillId="0" borderId="0" xfId="1" applyFont="1" applyFill="1" applyBorder="1"/>
    <xf numFmtId="0" fontId="28" fillId="0" borderId="0" xfId="1" applyFont="1" applyFill="1" applyBorder="1"/>
    <xf numFmtId="166" fontId="31" fillId="2" borderId="1" xfId="1" applyNumberFormat="1" applyFont="1" applyFill="1" applyBorder="1" applyAlignment="1">
      <alignment horizontal="center" vertical="center" wrapText="1"/>
    </xf>
    <xf numFmtId="0" fontId="34" fillId="0" borderId="1" xfId="1" applyFont="1" applyFill="1" applyBorder="1" applyAlignment="1">
      <alignment horizontal="center" vertical="center"/>
    </xf>
    <xf numFmtId="0" fontId="34" fillId="0" borderId="0" xfId="1" applyFont="1" applyFill="1" applyBorder="1"/>
    <xf numFmtId="49" fontId="14" fillId="0" borderId="1" xfId="2" applyNumberFormat="1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wrapText="1"/>
    </xf>
    <xf numFmtId="1" fontId="11" fillId="0" borderId="1" xfId="3" applyNumberFormat="1" applyFont="1" applyFill="1" applyBorder="1" applyAlignment="1">
      <alignment horizontal="center" vertical="center" wrapText="1"/>
    </xf>
    <xf numFmtId="1" fontId="15" fillId="0" borderId="1" xfId="3" applyNumberFormat="1" applyFont="1" applyFill="1" applyBorder="1" applyAlignment="1">
      <alignment horizontal="center" vertical="center" wrapText="1"/>
    </xf>
    <xf numFmtId="1" fontId="15" fillId="2" borderId="1" xfId="3" applyNumberFormat="1" applyFont="1" applyFill="1" applyBorder="1" applyAlignment="1">
      <alignment horizontal="center" vertical="center" wrapText="1"/>
    </xf>
    <xf numFmtId="1" fontId="2" fillId="0" borderId="0" xfId="3" applyNumberFormat="1" applyFont="1" applyFill="1" applyBorder="1" applyAlignment="1">
      <alignment horizontal="center" vertical="center" wrapText="1"/>
    </xf>
    <xf numFmtId="1" fontId="2" fillId="0" borderId="0" xfId="3" applyNumberFormat="1" applyFont="1" applyFill="1" applyBorder="1"/>
    <xf numFmtId="0" fontId="2" fillId="0" borderId="0" xfId="3" applyFont="1" applyFill="1" applyBorder="1"/>
    <xf numFmtId="0" fontId="11" fillId="0" borderId="1" xfId="3" applyFont="1" applyFill="1" applyBorder="1" applyAlignment="1">
      <alignment horizontal="center" vertical="center"/>
    </xf>
    <xf numFmtId="49" fontId="15" fillId="0" borderId="1" xfId="3" applyNumberFormat="1" applyFont="1" applyFill="1" applyBorder="1" applyAlignment="1">
      <alignment horizontal="center" vertical="center" wrapText="1"/>
    </xf>
    <xf numFmtId="166" fontId="4" fillId="0" borderId="0" xfId="3" applyNumberFormat="1" applyFont="1" applyFill="1" applyBorder="1"/>
    <xf numFmtId="164" fontId="4" fillId="0" borderId="0" xfId="3" applyNumberFormat="1" applyFont="1" applyFill="1" applyBorder="1"/>
    <xf numFmtId="0" fontId="4" fillId="0" borderId="0" xfId="3" applyFont="1" applyFill="1" applyBorder="1"/>
    <xf numFmtId="0" fontId="28" fillId="0" borderId="1" xfId="3" applyFont="1" applyFill="1" applyBorder="1" applyAlignment="1">
      <alignment horizontal="center" vertical="center"/>
    </xf>
    <xf numFmtId="166" fontId="29" fillId="0" borderId="0" xfId="3" applyNumberFormat="1" applyFont="1" applyFill="1" applyBorder="1"/>
    <xf numFmtId="164" fontId="29" fillId="0" borderId="0" xfId="3" applyNumberFormat="1" applyFont="1" applyFill="1" applyBorder="1"/>
    <xf numFmtId="0" fontId="29" fillId="0" borderId="0" xfId="3" applyFont="1" applyFill="1" applyBorder="1"/>
    <xf numFmtId="0" fontId="24" fillId="0" borderId="1" xfId="3" applyFont="1" applyFill="1" applyBorder="1" applyAlignment="1">
      <alignment horizontal="left" vertical="center" wrapText="1"/>
    </xf>
    <xf numFmtId="0" fontId="32" fillId="2" borderId="1" xfId="3" applyFont="1" applyFill="1" applyBorder="1" applyAlignment="1">
      <alignment horizontal="center" vertical="center"/>
    </xf>
    <xf numFmtId="0" fontId="33" fillId="2" borderId="1" xfId="3" applyFont="1" applyFill="1" applyBorder="1" applyAlignment="1">
      <alignment horizontal="center" vertical="center" wrapText="1"/>
    </xf>
    <xf numFmtId="166" fontId="33" fillId="2" borderId="1" xfId="3" applyNumberFormat="1" applyFont="1" applyFill="1" applyBorder="1" applyAlignment="1">
      <alignment horizontal="center" vertical="center" wrapText="1"/>
    </xf>
    <xf numFmtId="166" fontId="33" fillId="2" borderId="1" xfId="3" applyNumberFormat="1" applyFont="1" applyFill="1" applyBorder="1" applyAlignment="1">
      <alignment horizontal="center" vertical="center"/>
    </xf>
    <xf numFmtId="164" fontId="33" fillId="2" borderId="1" xfId="3" applyNumberFormat="1" applyFont="1" applyFill="1" applyBorder="1" applyAlignment="1">
      <alignment horizontal="center" vertical="center"/>
    </xf>
    <xf numFmtId="0" fontId="32" fillId="2" borderId="0" xfId="3" applyFont="1" applyFill="1" applyBorder="1"/>
    <xf numFmtId="166" fontId="32" fillId="2" borderId="0" xfId="3" applyNumberFormat="1" applyFont="1" applyFill="1" applyBorder="1"/>
    <xf numFmtId="166" fontId="33" fillId="0" borderId="1" xfId="3" applyNumberFormat="1" applyFont="1" applyFill="1" applyBorder="1" applyAlignment="1">
      <alignment horizontal="center" vertical="center"/>
    </xf>
    <xf numFmtId="164" fontId="33" fillId="0" borderId="1" xfId="3" applyNumberFormat="1" applyFont="1" applyFill="1" applyBorder="1" applyAlignment="1">
      <alignment horizontal="center" vertical="center"/>
    </xf>
    <xf numFmtId="0" fontId="31" fillId="0" borderId="1" xfId="3" applyFont="1" applyFill="1" applyBorder="1" applyAlignment="1">
      <alignment horizontal="left" vertical="center" wrapText="1"/>
    </xf>
    <xf numFmtId="166" fontId="20" fillId="0" borderId="0" xfId="3" applyNumberFormat="1" applyFont="1" applyFill="1" applyBorder="1" applyAlignment="1">
      <alignment horizontal="center" vertical="center"/>
    </xf>
    <xf numFmtId="164" fontId="20" fillId="0" borderId="0" xfId="3" applyNumberFormat="1" applyFont="1" applyFill="1" applyBorder="1" applyAlignment="1">
      <alignment horizontal="center" vertical="center"/>
    </xf>
    <xf numFmtId="165" fontId="6" fillId="0" borderId="0" xfId="3" applyNumberFormat="1" applyFont="1" applyFill="1" applyBorder="1" applyAlignment="1">
      <alignment horizontal="center" vertical="center"/>
    </xf>
    <xf numFmtId="164" fontId="6" fillId="0" borderId="0" xfId="3" applyNumberFormat="1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 wrapText="1"/>
    </xf>
    <xf numFmtId="165" fontId="4" fillId="0" borderId="1" xfId="2" applyNumberFormat="1" applyFont="1" applyFill="1" applyBorder="1" applyAlignment="1">
      <alignment horizontal="center" vertical="center" wrapText="1"/>
    </xf>
    <xf numFmtId="166" fontId="3" fillId="0" borderId="0" xfId="2" applyNumberFormat="1" applyFont="1" applyFill="1" applyBorder="1" applyAlignment="1">
      <alignment horizontal="center"/>
    </xf>
    <xf numFmtId="49" fontId="36" fillId="0" borderId="1" xfId="2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166" fontId="20" fillId="2" borderId="0" xfId="1" applyNumberFormat="1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left" vertical="center" wrapText="1"/>
    </xf>
    <xf numFmtId="166" fontId="37" fillId="0" borderId="1" xfId="3" applyNumberFormat="1" applyFont="1" applyFill="1" applyBorder="1" applyAlignment="1">
      <alignment horizontal="center" vertical="center" wrapText="1"/>
    </xf>
    <xf numFmtId="0" fontId="36" fillId="0" borderId="1" xfId="2" applyFont="1" applyFill="1" applyBorder="1" applyAlignment="1">
      <alignment horizontal="left" vertical="center" wrapText="1"/>
    </xf>
    <xf numFmtId="0" fontId="26" fillId="0" borderId="0" xfId="3" applyFont="1" applyFill="1" applyBorder="1"/>
    <xf numFmtId="14" fontId="28" fillId="0" borderId="1" xfId="3" applyNumberFormat="1" applyFont="1" applyFill="1" applyBorder="1" applyAlignment="1">
      <alignment horizontal="center" vertical="center"/>
    </xf>
    <xf numFmtId="0" fontId="6" fillId="0" borderId="0" xfId="3" applyFont="1" applyFill="1" applyBorder="1"/>
    <xf numFmtId="166" fontId="6" fillId="0" borderId="0" xfId="3" applyNumberFormat="1" applyFont="1" applyFill="1" applyBorder="1"/>
    <xf numFmtId="164" fontId="6" fillId="0" borderId="0" xfId="3" applyNumberFormat="1" applyFont="1" applyFill="1" applyBorder="1"/>
    <xf numFmtId="49" fontId="22" fillId="0" borderId="1" xfId="3" applyNumberFormat="1" applyFont="1" applyFill="1" applyBorder="1" applyAlignment="1">
      <alignment horizontal="center" vertical="center" shrinkToFit="1"/>
    </xf>
    <xf numFmtId="0" fontId="6" fillId="0" borderId="0" xfId="3" applyFont="1" applyFill="1" applyBorder="1" applyAlignment="1">
      <alignment horizontal="center"/>
    </xf>
    <xf numFmtId="166" fontId="31" fillId="0" borderId="1" xfId="1" applyNumberFormat="1" applyFont="1" applyFill="1" applyBorder="1" applyAlignment="1">
      <alignment horizontal="center" vertical="center" wrapText="1"/>
    </xf>
    <xf numFmtId="166" fontId="31" fillId="0" borderId="0" xfId="1" applyNumberFormat="1" applyFont="1" applyFill="1" applyBorder="1" applyAlignment="1">
      <alignment horizontal="center" vertical="center" wrapText="1"/>
    </xf>
    <xf numFmtId="166" fontId="2" fillId="0" borderId="0" xfId="2" applyNumberFormat="1" applyFont="1" applyFill="1" applyBorder="1"/>
    <xf numFmtId="49" fontId="24" fillId="0" borderId="1" xfId="1" applyNumberFormat="1" applyFont="1" applyFill="1" applyBorder="1" applyAlignment="1">
      <alignment horizontal="left" vertical="center" wrapText="1"/>
    </xf>
    <xf numFmtId="166" fontId="38" fillId="0" borderId="1" xfId="3" applyNumberFormat="1" applyFont="1" applyFill="1" applyBorder="1" applyAlignment="1">
      <alignment horizontal="center" vertical="center" wrapText="1"/>
    </xf>
    <xf numFmtId="166" fontId="38" fillId="2" borderId="1" xfId="3" applyNumberFormat="1" applyFont="1" applyFill="1" applyBorder="1" applyAlignment="1">
      <alignment horizontal="center" vertical="center" wrapText="1"/>
    </xf>
    <xf numFmtId="166" fontId="38" fillId="0" borderId="1" xfId="0" applyNumberFormat="1" applyFont="1" applyFill="1" applyBorder="1" applyAlignment="1">
      <alignment horizontal="center" vertical="center" wrapText="1"/>
    </xf>
    <xf numFmtId="166" fontId="38" fillId="0" borderId="1" xfId="3" applyNumberFormat="1" applyFont="1" applyFill="1" applyBorder="1" applyAlignment="1">
      <alignment horizontal="center" vertical="center"/>
    </xf>
    <xf numFmtId="164" fontId="38" fillId="0" borderId="1" xfId="3" applyNumberFormat="1" applyFont="1" applyFill="1" applyBorder="1" applyAlignment="1">
      <alignment horizontal="center" vertical="center"/>
    </xf>
    <xf numFmtId="166" fontId="39" fillId="0" borderId="1" xfId="3" applyNumberFormat="1" applyFont="1" applyFill="1" applyBorder="1" applyAlignment="1">
      <alignment horizontal="center" vertical="center" wrapText="1"/>
    </xf>
    <xf numFmtId="166" fontId="39" fillId="2" borderId="1" xfId="3" applyNumberFormat="1" applyFont="1" applyFill="1" applyBorder="1" applyAlignment="1">
      <alignment horizontal="center" vertical="center" wrapText="1"/>
    </xf>
    <xf numFmtId="166" fontId="39" fillId="0" borderId="1" xfId="0" applyNumberFormat="1" applyFont="1" applyFill="1" applyBorder="1" applyAlignment="1">
      <alignment horizontal="center" vertical="center" wrapText="1"/>
    </xf>
    <xf numFmtId="166" fontId="39" fillId="0" borderId="1" xfId="3" applyNumberFormat="1" applyFont="1" applyFill="1" applyBorder="1" applyAlignment="1">
      <alignment horizontal="center" vertical="center"/>
    </xf>
    <xf numFmtId="164" fontId="39" fillId="0" borderId="1" xfId="3" applyNumberFormat="1" applyFont="1" applyFill="1" applyBorder="1" applyAlignment="1">
      <alignment horizontal="center" vertical="center"/>
    </xf>
    <xf numFmtId="166" fontId="38" fillId="0" borderId="1" xfId="1" applyNumberFormat="1" applyFont="1" applyFill="1" applyBorder="1" applyAlignment="1">
      <alignment horizontal="center" vertical="center" wrapText="1"/>
    </xf>
    <xf numFmtId="166" fontId="39" fillId="0" borderId="1" xfId="1" applyNumberFormat="1" applyFont="1" applyFill="1" applyBorder="1" applyAlignment="1">
      <alignment horizontal="center" vertical="center" wrapText="1"/>
    </xf>
    <xf numFmtId="49" fontId="37" fillId="0" borderId="1" xfId="1" applyNumberFormat="1" applyFont="1" applyFill="1" applyBorder="1" applyAlignment="1">
      <alignment horizontal="center" vertical="center" wrapText="1"/>
    </xf>
    <xf numFmtId="49" fontId="37" fillId="2" borderId="1" xfId="1" applyNumberFormat="1" applyFont="1" applyFill="1" applyBorder="1" applyAlignment="1">
      <alignment horizontal="center" vertical="center" wrapText="1"/>
    </xf>
    <xf numFmtId="166" fontId="39" fillId="2" borderId="1" xfId="1" applyNumberFormat="1" applyFont="1" applyFill="1" applyBorder="1" applyAlignment="1">
      <alignment horizontal="center" vertical="center" wrapText="1"/>
    </xf>
    <xf numFmtId="166" fontId="38" fillId="2" borderId="1" xfId="1" applyNumberFormat="1" applyFont="1" applyFill="1" applyBorder="1" applyAlignment="1">
      <alignment horizontal="center" vertical="center" wrapText="1"/>
    </xf>
    <xf numFmtId="168" fontId="38" fillId="0" borderId="1" xfId="1" applyNumberFormat="1" applyFont="1" applyFill="1" applyBorder="1" applyAlignment="1">
      <alignment horizontal="center" vertical="center" wrapText="1"/>
    </xf>
    <xf numFmtId="167" fontId="38" fillId="2" borderId="1" xfId="1" applyNumberFormat="1" applyFont="1" applyFill="1" applyBorder="1" applyAlignment="1">
      <alignment horizontal="center" vertical="center" wrapText="1"/>
    </xf>
    <xf numFmtId="167" fontId="38" fillId="0" borderId="1" xfId="1" applyNumberFormat="1" applyFont="1" applyFill="1" applyBorder="1" applyAlignment="1">
      <alignment horizontal="center" vertical="center" wrapText="1"/>
    </xf>
    <xf numFmtId="49" fontId="24" fillId="0" borderId="1" xfId="3" applyNumberFormat="1" applyFont="1" applyFill="1" applyBorder="1" applyAlignment="1">
      <alignment horizontal="left" vertical="center" wrapText="1"/>
    </xf>
    <xf numFmtId="49" fontId="25" fillId="0" borderId="1" xfId="3" applyNumberFormat="1" applyFont="1" applyFill="1" applyBorder="1" applyAlignment="1">
      <alignment horizontal="left" vertical="center" wrapText="1"/>
    </xf>
    <xf numFmtId="49" fontId="40" fillId="0" borderId="1" xfId="2" applyNumberFormat="1" applyFont="1" applyFill="1" applyBorder="1" applyAlignment="1">
      <alignment horizontal="left" vertical="center" wrapText="1"/>
    </xf>
    <xf numFmtId="0" fontId="40" fillId="0" borderId="1" xfId="2" applyNumberFormat="1" applyFont="1" applyFill="1" applyBorder="1" applyAlignment="1">
      <alignment horizontal="left" vertical="center" wrapText="1"/>
    </xf>
    <xf numFmtId="166" fontId="18" fillId="0" borderId="0" xfId="2" applyNumberFormat="1" applyFont="1" applyFill="1"/>
    <xf numFmtId="166" fontId="33" fillId="0" borderId="0" xfId="1" applyNumberFormat="1" applyFont="1" applyFill="1" applyBorder="1" applyAlignment="1">
      <alignment horizontal="center" vertical="center" wrapText="1"/>
    </xf>
    <xf numFmtId="166" fontId="33" fillId="2" borderId="0" xfId="1" applyNumberFormat="1" applyFont="1" applyFill="1" applyBorder="1" applyAlignment="1">
      <alignment horizontal="center" vertical="center" wrapText="1"/>
    </xf>
    <xf numFmtId="0" fontId="30" fillId="0" borderId="0" xfId="3" applyFont="1" applyFill="1" applyBorder="1"/>
    <xf numFmtId="166" fontId="31" fillId="2" borderId="0" xfId="1" applyNumberFormat="1" applyFont="1" applyFill="1" applyBorder="1" applyAlignment="1">
      <alignment horizontal="center" vertical="center" wrapText="1"/>
    </xf>
    <xf numFmtId="0" fontId="30" fillId="0" borderId="0" xfId="0" applyFont="1" applyBorder="1"/>
    <xf numFmtId="0" fontId="24" fillId="0" borderId="1" xfId="3" applyNumberFormat="1" applyFont="1" applyFill="1" applyBorder="1" applyAlignment="1">
      <alignment horizontal="justify" vertical="center" wrapText="1" shrinkToFit="1"/>
    </xf>
    <xf numFmtId="0" fontId="40" fillId="0" borderId="1" xfId="3" applyNumberFormat="1" applyFont="1" applyFill="1" applyBorder="1" applyAlignment="1">
      <alignment horizontal="left" vertical="center" wrapText="1" shrinkToFit="1"/>
    </xf>
    <xf numFmtId="49" fontId="11" fillId="0" borderId="1" xfId="3" applyNumberFormat="1" applyFont="1" applyFill="1" applyBorder="1" applyAlignment="1">
      <alignment horizontal="center" vertical="center" wrapText="1" shrinkToFit="1"/>
    </xf>
    <xf numFmtId="0" fontId="36" fillId="0" borderId="1" xfId="3" applyNumberFormat="1" applyFont="1" applyFill="1" applyBorder="1" applyAlignment="1">
      <alignment horizontal="justify" vertical="center" wrapText="1" shrinkToFit="1"/>
    </xf>
    <xf numFmtId="0" fontId="4" fillId="0" borderId="0" xfId="2" applyFont="1" applyFill="1" applyBorder="1" applyAlignment="1">
      <alignment horizontal="center" vertical="center" wrapText="1"/>
    </xf>
    <xf numFmtId="0" fontId="38" fillId="0" borderId="1" xfId="3" applyNumberFormat="1" applyFont="1" applyFill="1" applyBorder="1" applyAlignment="1">
      <alignment horizontal="center" vertical="center"/>
    </xf>
    <xf numFmtId="0" fontId="31" fillId="0" borderId="1" xfId="3" applyFont="1" applyFill="1" applyBorder="1" applyAlignment="1">
      <alignment horizontal="center" vertical="center" wrapText="1"/>
    </xf>
    <xf numFmtId="166" fontId="26" fillId="0" borderId="0" xfId="3" applyNumberFormat="1" applyFont="1" applyFill="1" applyBorder="1"/>
    <xf numFmtId="0" fontId="44" fillId="2" borderId="1" xfId="1" applyFont="1" applyFill="1" applyBorder="1" applyAlignment="1">
      <alignment horizontal="center" vertical="center"/>
    </xf>
    <xf numFmtId="0" fontId="45" fillId="2" borderId="1" xfId="1" applyFont="1" applyFill="1" applyBorder="1" applyAlignment="1">
      <alignment horizontal="center" vertical="center" wrapText="1"/>
    </xf>
    <xf numFmtId="165" fontId="45" fillId="2" borderId="1" xfId="1" applyNumberFormat="1" applyFont="1" applyFill="1" applyBorder="1" applyAlignment="1">
      <alignment horizontal="center" vertical="center" wrapText="1"/>
    </xf>
    <xf numFmtId="166" fontId="45" fillId="2" borderId="1" xfId="1" applyNumberFormat="1" applyFont="1" applyFill="1" applyBorder="1" applyAlignment="1">
      <alignment horizontal="center" vertical="center" wrapText="1"/>
    </xf>
    <xf numFmtId="166" fontId="45" fillId="2" borderId="1" xfId="3" applyNumberFormat="1" applyFont="1" applyFill="1" applyBorder="1" applyAlignment="1">
      <alignment horizontal="center" vertical="center"/>
    </xf>
    <xf numFmtId="164" fontId="45" fillId="2" borderId="1" xfId="3" applyNumberFormat="1" applyFont="1" applyFill="1" applyBorder="1" applyAlignment="1">
      <alignment horizontal="center" vertical="center"/>
    </xf>
    <xf numFmtId="166" fontId="44" fillId="2" borderId="0" xfId="1" applyNumberFormat="1" applyFont="1" applyFill="1" applyBorder="1"/>
    <xf numFmtId="0" fontId="44" fillId="2" borderId="0" xfId="1" applyFont="1" applyFill="1" applyBorder="1"/>
    <xf numFmtId="49" fontId="45" fillId="2" borderId="1" xfId="1" applyNumberFormat="1" applyFont="1" applyFill="1" applyBorder="1" applyAlignment="1">
      <alignment horizontal="center" vertical="center" wrapText="1"/>
    </xf>
    <xf numFmtId="0" fontId="44" fillId="2" borderId="1" xfId="1" applyFont="1" applyFill="1" applyBorder="1" applyAlignment="1">
      <alignment vertical="center"/>
    </xf>
    <xf numFmtId="49" fontId="32" fillId="0" borderId="1" xfId="1" applyNumberFormat="1" applyFont="1" applyFill="1" applyBorder="1" applyAlignment="1">
      <alignment horizontal="center" vertical="center"/>
    </xf>
    <xf numFmtId="49" fontId="46" fillId="0" borderId="1" xfId="1" applyNumberFormat="1" applyFont="1" applyFill="1" applyBorder="1" applyAlignment="1">
      <alignment horizontal="center" vertical="center"/>
    </xf>
    <xf numFmtId="49" fontId="39" fillId="0" borderId="1" xfId="1" applyNumberFormat="1" applyFont="1" applyFill="1" applyBorder="1" applyAlignment="1">
      <alignment horizontal="center" vertical="center" wrapText="1"/>
    </xf>
    <xf numFmtId="0" fontId="46" fillId="0" borderId="0" xfId="1" applyFont="1" applyFill="1" applyBorder="1"/>
    <xf numFmtId="49" fontId="40" fillId="0" borderId="1" xfId="3" applyNumberFormat="1" applyFont="1" applyFill="1" applyBorder="1" applyAlignment="1">
      <alignment horizontal="left" vertical="center" wrapText="1"/>
    </xf>
    <xf numFmtId="0" fontId="25" fillId="0" borderId="1" xfId="3" applyFont="1" applyFill="1" applyBorder="1" applyAlignment="1">
      <alignment horizontal="left" vertical="center" wrapText="1"/>
    </xf>
    <xf numFmtId="0" fontId="21" fillId="0" borderId="1" xfId="1" applyFont="1" applyFill="1" applyBorder="1" applyAlignment="1">
      <alignment horizontal="center" vertical="center" wrapText="1"/>
    </xf>
    <xf numFmtId="49" fontId="25" fillId="0" borderId="1" xfId="1" applyNumberFormat="1" applyFont="1" applyFill="1" applyBorder="1" applyAlignment="1">
      <alignment horizontal="center" vertical="center" wrapText="1"/>
    </xf>
    <xf numFmtId="49" fontId="40" fillId="0" borderId="1" xfId="2" applyNumberFormat="1" applyFont="1" applyFill="1" applyBorder="1" applyAlignment="1">
      <alignment horizontal="center" vertical="center" wrapText="1"/>
    </xf>
    <xf numFmtId="0" fontId="24" fillId="0" borderId="1" xfId="2" applyFont="1" applyFill="1" applyBorder="1" applyAlignment="1">
      <alignment vertical="center" wrapText="1"/>
    </xf>
    <xf numFmtId="167" fontId="31" fillId="0" borderId="1" xfId="3" applyNumberFormat="1" applyFont="1" applyFill="1" applyBorder="1"/>
    <xf numFmtId="167" fontId="31" fillId="2" borderId="1" xfId="3" applyNumberFormat="1" applyFont="1" applyFill="1" applyBorder="1"/>
    <xf numFmtId="49" fontId="22" fillId="0" borderId="1" xfId="3" applyNumberFormat="1" applyFont="1" applyFill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center" vertical="center" wrapText="1"/>
    </xf>
    <xf numFmtId="0" fontId="47" fillId="0" borderId="1" xfId="1" applyFont="1" applyFill="1" applyBorder="1" applyAlignment="1">
      <alignment horizontal="left" vertical="center" wrapText="1"/>
    </xf>
    <xf numFmtId="0" fontId="40" fillId="0" borderId="1" xfId="1" applyFont="1" applyFill="1" applyBorder="1" applyAlignment="1">
      <alignment horizontal="left" vertical="center" wrapText="1"/>
    </xf>
    <xf numFmtId="168" fontId="39" fillId="0" borderId="1" xfId="1" applyNumberFormat="1" applyFont="1" applyFill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49" fontId="16" fillId="0" borderId="0" xfId="2" applyNumberFormat="1" applyFont="1" applyFill="1" applyBorder="1" applyAlignment="1">
      <alignment horizontal="center" vertical="center" wrapText="1"/>
    </xf>
    <xf numFmtId="49" fontId="23" fillId="0" borderId="1" xfId="3" applyNumberFormat="1" applyFont="1" applyFill="1" applyBorder="1" applyAlignment="1">
      <alignment horizontal="center" vertical="center" wrapText="1"/>
    </xf>
    <xf numFmtId="49" fontId="20" fillId="0" borderId="1" xfId="3" applyNumberFormat="1" applyFont="1" applyFill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center" vertical="center" wrapText="1"/>
    </xf>
    <xf numFmtId="49" fontId="30" fillId="0" borderId="1" xfId="3" applyNumberFormat="1" applyFont="1" applyFill="1" applyBorder="1" applyAlignment="1">
      <alignment horizontal="center" vertical="center" wrapText="1"/>
    </xf>
    <xf numFmtId="49" fontId="30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30" fillId="2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49" fontId="22" fillId="0" borderId="1" xfId="3" applyNumberFormat="1" applyFont="1" applyFill="1" applyBorder="1" applyAlignment="1">
      <alignment horizontal="center" vertical="center" wrapText="1"/>
    </xf>
    <xf numFmtId="49" fontId="30" fillId="0" borderId="1" xfId="3" applyNumberFormat="1" applyFont="1" applyFill="1" applyBorder="1" applyAlignment="1">
      <alignment horizontal="center" vertical="center" textRotation="90" wrapText="1"/>
    </xf>
  </cellXfs>
  <cellStyles count="4">
    <cellStyle name="Звичайний 2" xfId="3"/>
    <cellStyle name="Обычный" xfId="0" builtinId="0"/>
    <cellStyle name="Обычный_Ан_вик_бюдж_поміс" xfId="1"/>
    <cellStyle name="Обычный_Ан_вик_бюдж_поміс_вл_закр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fin.vmr.gov.ua/Documents/&#1042;&#1110;&#1076;&#1076;&#1110;&#1083;%20&#1076;&#1086;&#1093;&#1086;&#1076;&#1110;&#1074;%20&#1073;&#1102;&#1076;&#1078;&#1077;&#1090;&#1091;/&#1057;&#1077;&#1088;&#1074;&#1077;&#1090;&#1085;&#1080;&#1082;%20&#1052;&#1072;&#1082;&#1089;&#1080;&#1084;%20&#1052;&#1080;&#1082;&#1086;&#1083;&#1072;&#1081;&#1086;&#1074;&#1080;&#1095;/&#1040;&#1085;&#1072;&#1083;&#1110;&#1079;&#1080;/&#1065;&#1086;&#1084;&#1110;&#1089;&#1103;&#1095;&#1085;&#1110;/&#1040;&#1085;&#1072;&#1083;&#1110;&#1079;%202021%20&#1088;&#1110;&#1082;/03%20&#1040;&#1085;&#1072;&#1083;&#1110;&#1079;%20&#1079;&#1072;%203%20&#1084;&#1110;&#1089;&#1103;&#1094;&#1110;%202021%20&#1088;&#111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"/>
      <sheetName val="2021 короткий"/>
    </sheetNames>
    <sheetDataSet>
      <sheetData sheetId="0">
        <row r="29">
          <cell r="I29">
            <v>893.96699999999998</v>
          </cell>
        </row>
        <row r="33">
          <cell r="I33">
            <v>2556.277</v>
          </cell>
        </row>
        <row r="38">
          <cell r="I38">
            <v>1008.902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44"/>
  <sheetViews>
    <sheetView showGridLines="0" tabSelected="1" view="pageBreakPreview" zoomScale="60" zoomScaleNormal="75" workbookViewId="0">
      <pane xSplit="3" ySplit="6" topLeftCell="D103" activePane="bottomRight" state="frozen"/>
      <selection pane="topRight" activeCell="D1" sqref="D1"/>
      <selection pane="bottomLeft" activeCell="A7" sqref="A7"/>
      <selection pane="bottomRight" activeCell="Q118" sqref="Q118"/>
    </sheetView>
  </sheetViews>
  <sheetFormatPr defaultColWidth="9.140625" defaultRowHeight="12.75" x14ac:dyDescent="0.2"/>
  <cols>
    <col min="1" max="1" width="12.28515625" style="20" customWidth="1"/>
    <col min="2" max="2" width="86.7109375" style="20" customWidth="1"/>
    <col min="3" max="3" width="16.140625" style="20" customWidth="1"/>
    <col min="4" max="4" width="23.5703125" style="20" customWidth="1"/>
    <col min="5" max="5" width="25.42578125" style="20" customWidth="1"/>
    <col min="6" max="6" width="23.140625" style="33" customWidth="1"/>
    <col min="7" max="16" width="21.28515625" style="3" hidden="1" customWidth="1"/>
    <col min="17" max="17" width="24" style="3" customWidth="1"/>
    <col min="18" max="18" width="22.5703125" style="1" customWidth="1"/>
    <col min="19" max="19" width="14.140625" style="1" bestFit="1" customWidth="1"/>
    <col min="20" max="20" width="23.85546875" style="1" hidden="1" customWidth="1"/>
    <col min="21" max="21" width="25.7109375" style="1" hidden="1" customWidth="1"/>
    <col min="22" max="22" width="14.7109375" style="1" hidden="1" customWidth="1"/>
    <col min="23" max="23" width="16.140625" style="1" customWidth="1"/>
    <col min="24" max="24" width="23.140625" style="33" customWidth="1"/>
    <col min="25" max="25" width="21.85546875" style="1" customWidth="1"/>
    <col min="26" max="26" width="14.7109375" style="3" bestFit="1" customWidth="1"/>
    <col min="27" max="27" width="24.140625" style="3" hidden="1" customWidth="1"/>
    <col min="28" max="28" width="19.140625" style="3" hidden="1" customWidth="1"/>
    <col min="29" max="29" width="15.85546875" style="3" hidden="1" customWidth="1"/>
    <col min="30" max="30" width="0" style="3" hidden="1" customWidth="1"/>
    <col min="31" max="31" width="24.140625" style="3" hidden="1" customWidth="1"/>
    <col min="32" max="32" width="0" style="3" hidden="1" customWidth="1"/>
    <col min="33" max="33" width="15.140625" style="3" hidden="1" customWidth="1"/>
    <col min="34" max="16384" width="9.140625" style="3"/>
  </cols>
  <sheetData>
    <row r="1" spans="1:41" ht="30" customHeight="1" x14ac:dyDescent="0.2">
      <c r="A1" s="189" t="s">
        <v>219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</row>
    <row r="2" spans="1:41" ht="18.75" x14ac:dyDescent="0.3">
      <c r="A2" s="23" t="s">
        <v>47</v>
      </c>
      <c r="B2" s="18"/>
      <c r="C2" s="18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X2" s="105"/>
      <c r="Y2" s="5" t="s">
        <v>13</v>
      </c>
      <c r="Z2" s="5"/>
    </row>
    <row r="3" spans="1:41" s="72" customFormat="1" ht="15" customHeight="1" x14ac:dyDescent="0.25">
      <c r="A3" s="196" t="s">
        <v>0</v>
      </c>
      <c r="B3" s="194" t="s">
        <v>1</v>
      </c>
      <c r="C3" s="194" t="s">
        <v>2</v>
      </c>
      <c r="D3" s="193" t="s">
        <v>149</v>
      </c>
      <c r="E3" s="193" t="s">
        <v>180</v>
      </c>
      <c r="F3" s="195" t="s">
        <v>216</v>
      </c>
      <c r="G3" s="193" t="s">
        <v>62</v>
      </c>
      <c r="H3" s="193" t="s">
        <v>158</v>
      </c>
      <c r="I3" s="193" t="s">
        <v>174</v>
      </c>
      <c r="J3" s="193" t="s">
        <v>175</v>
      </c>
      <c r="K3" s="193" t="s">
        <v>176</v>
      </c>
      <c r="L3" s="193" t="s">
        <v>181</v>
      </c>
      <c r="M3" s="193" t="s">
        <v>182</v>
      </c>
      <c r="N3" s="193" t="s">
        <v>184</v>
      </c>
      <c r="O3" s="193" t="s">
        <v>195</v>
      </c>
      <c r="P3" s="193" t="s">
        <v>209</v>
      </c>
      <c r="Q3" s="193" t="s">
        <v>210</v>
      </c>
      <c r="R3" s="193" t="s">
        <v>211</v>
      </c>
      <c r="S3" s="193" t="s">
        <v>3</v>
      </c>
      <c r="T3" s="193" t="s">
        <v>212</v>
      </c>
      <c r="U3" s="193" t="s">
        <v>213</v>
      </c>
      <c r="V3" s="193" t="s">
        <v>3</v>
      </c>
      <c r="W3" s="198" t="s">
        <v>217</v>
      </c>
      <c r="X3" s="195" t="s">
        <v>214</v>
      </c>
      <c r="Y3" s="193" t="s">
        <v>215</v>
      </c>
      <c r="Z3" s="193" t="s">
        <v>3</v>
      </c>
    </row>
    <row r="4" spans="1:41" s="72" customFormat="1" ht="79.5" customHeight="1" x14ac:dyDescent="0.25">
      <c r="A4" s="196"/>
      <c r="B4" s="194"/>
      <c r="C4" s="194"/>
      <c r="D4" s="193"/>
      <c r="E4" s="193"/>
      <c r="F4" s="195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8"/>
      <c r="X4" s="195"/>
      <c r="Y4" s="193"/>
      <c r="Z4" s="193"/>
    </row>
    <row r="5" spans="1:41" s="77" customFormat="1" ht="20.25" x14ac:dyDescent="0.2">
      <c r="A5" s="73" t="s">
        <v>4</v>
      </c>
      <c r="B5" s="74" t="s">
        <v>5</v>
      </c>
      <c r="C5" s="74">
        <f>B5+1</f>
        <v>3</v>
      </c>
      <c r="D5" s="74">
        <f>C5+1</f>
        <v>4</v>
      </c>
      <c r="E5" s="74">
        <f t="shared" ref="E5:G5" si="0">D5+1</f>
        <v>5</v>
      </c>
      <c r="F5" s="75">
        <f t="shared" si="0"/>
        <v>6</v>
      </c>
      <c r="G5" s="74">
        <f t="shared" si="0"/>
        <v>7</v>
      </c>
      <c r="H5" s="74">
        <f t="shared" ref="H5" si="1">G5+1</f>
        <v>8</v>
      </c>
      <c r="I5" s="74">
        <f t="shared" ref="I5" si="2">H5+1</f>
        <v>9</v>
      </c>
      <c r="J5" s="74">
        <f t="shared" ref="J5" si="3">I5+1</f>
        <v>10</v>
      </c>
      <c r="K5" s="74">
        <f t="shared" ref="K5" si="4">J5+1</f>
        <v>11</v>
      </c>
      <c r="L5" s="74">
        <f t="shared" ref="L5" si="5">K5+1</f>
        <v>12</v>
      </c>
      <c r="M5" s="74">
        <f t="shared" ref="M5" si="6">L5+1</f>
        <v>13</v>
      </c>
      <c r="N5" s="74">
        <f t="shared" ref="N5" si="7">M5+1</f>
        <v>14</v>
      </c>
      <c r="O5" s="74">
        <f t="shared" ref="O5" si="8">N5+1</f>
        <v>15</v>
      </c>
      <c r="P5" s="74">
        <f t="shared" ref="P5" si="9">O5+1</f>
        <v>16</v>
      </c>
      <c r="Q5" s="74">
        <v>7</v>
      </c>
      <c r="R5" s="74">
        <f t="shared" ref="R5" si="10">Q5+1</f>
        <v>8</v>
      </c>
      <c r="S5" s="74">
        <f t="shared" ref="S5" si="11">R5+1</f>
        <v>9</v>
      </c>
      <c r="T5" s="74">
        <f t="shared" ref="T5" si="12">S5+1</f>
        <v>10</v>
      </c>
      <c r="U5" s="74">
        <f t="shared" ref="U5" si="13">T5+1</f>
        <v>11</v>
      </c>
      <c r="V5" s="74">
        <f t="shared" ref="V5" si="14">U5+1</f>
        <v>12</v>
      </c>
      <c r="W5" s="74">
        <v>10</v>
      </c>
      <c r="X5" s="75">
        <f t="shared" ref="X5:Z5" si="15">W5+1</f>
        <v>11</v>
      </c>
      <c r="Y5" s="74">
        <f t="shared" si="15"/>
        <v>12</v>
      </c>
      <c r="Z5" s="74">
        <f t="shared" si="15"/>
        <v>13</v>
      </c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</row>
    <row r="6" spans="1:41" s="78" customFormat="1" ht="26.25" customHeight="1" x14ac:dyDescent="0.2">
      <c r="A6" s="190" t="s">
        <v>6</v>
      </c>
      <c r="B6" s="190"/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190"/>
      <c r="Z6" s="190"/>
    </row>
    <row r="7" spans="1:41" s="83" customFormat="1" ht="33" customHeight="1" x14ac:dyDescent="0.25">
      <c r="A7" s="79">
        <v>1</v>
      </c>
      <c r="B7" s="88" t="s">
        <v>64</v>
      </c>
      <c r="C7" s="80" t="s">
        <v>14</v>
      </c>
      <c r="D7" s="123">
        <v>2859393.46</v>
      </c>
      <c r="E7" s="123">
        <v>2948672.36</v>
      </c>
      <c r="F7" s="124">
        <f>SUM(G7:P7)</f>
        <v>2545578.9599999995</v>
      </c>
      <c r="G7" s="123">
        <v>178227.345</v>
      </c>
      <c r="H7" s="123">
        <v>241711.46</v>
      </c>
      <c r="I7" s="123">
        <v>229956.74600000001</v>
      </c>
      <c r="J7" s="123">
        <v>213294.984</v>
      </c>
      <c r="K7" s="123">
        <v>258055.78899999999</v>
      </c>
      <c r="L7" s="123">
        <v>296235.73800000001</v>
      </c>
      <c r="M7" s="123">
        <v>272438.53600000002</v>
      </c>
      <c r="N7" s="123">
        <v>273846.15700000001</v>
      </c>
      <c r="O7" s="123">
        <v>294444.88500000001</v>
      </c>
      <c r="P7" s="123">
        <v>287367.32</v>
      </c>
      <c r="Q7" s="125">
        <v>2480153.3169999998</v>
      </c>
      <c r="R7" s="126">
        <f t="shared" ref="R7:R43" si="16">F7-Q7</f>
        <v>65425.642999999691</v>
      </c>
      <c r="S7" s="127">
        <f>F7/Q7*100</f>
        <v>102.63796768335027</v>
      </c>
      <c r="T7" s="126">
        <f>E7/12*10</f>
        <v>2457226.9666666668</v>
      </c>
      <c r="U7" s="126">
        <f t="shared" ref="U7:U43" si="17">F7-T7</f>
        <v>88351.993333332706</v>
      </c>
      <c r="V7" s="127">
        <f t="shared" ref="V7:V42" si="18">F7/T7*100</f>
        <v>103.59559757937973</v>
      </c>
      <c r="W7" s="127">
        <f>F7/E7*100</f>
        <v>86.329664649483121</v>
      </c>
      <c r="X7" s="124">
        <v>1905609.6460000004</v>
      </c>
      <c r="Y7" s="126">
        <f t="shared" ref="Y7:Y43" si="19">F7-X7</f>
        <v>639969.31399999908</v>
      </c>
      <c r="Z7" s="127">
        <f>F7/X7*100</f>
        <v>133.58344219884364</v>
      </c>
      <c r="AA7" s="81"/>
      <c r="AB7" s="81"/>
      <c r="AC7" s="81">
        <f>AA7-AB7</f>
        <v>0</v>
      </c>
      <c r="AD7" s="82" t="e">
        <f>AA7/AB7*100</f>
        <v>#DIV/0!</v>
      </c>
    </row>
    <row r="8" spans="1:41" s="83" customFormat="1" ht="39" x14ac:dyDescent="0.25">
      <c r="A8" s="79">
        <f>A7+1</f>
        <v>2</v>
      </c>
      <c r="B8" s="88" t="s">
        <v>35</v>
      </c>
      <c r="C8" s="80" t="s">
        <v>16</v>
      </c>
      <c r="D8" s="123">
        <v>1010</v>
      </c>
      <c r="E8" s="123">
        <f t="shared" ref="E8:E47" si="20">D8</f>
        <v>1010</v>
      </c>
      <c r="F8" s="124">
        <f t="shared" ref="F8:F75" si="21">SUM(G8:P8)</f>
        <v>630.92399999999986</v>
      </c>
      <c r="G8" s="123">
        <v>2.6560000000000001</v>
      </c>
      <c r="H8" s="123">
        <v>179.74199999999999</v>
      </c>
      <c r="I8" s="123">
        <v>86.79</v>
      </c>
      <c r="J8" s="123">
        <v>30.728999999999999</v>
      </c>
      <c r="K8" s="123">
        <v>127.95</v>
      </c>
      <c r="L8" s="123">
        <v>15.706</v>
      </c>
      <c r="M8" s="123">
        <v>5.3999999999999999E-2</v>
      </c>
      <c r="N8" s="123">
        <v>182.98699999999999</v>
      </c>
      <c r="O8" s="123">
        <v>0</v>
      </c>
      <c r="P8" s="123">
        <v>4.3099999999999996</v>
      </c>
      <c r="Q8" s="125">
        <v>625.70000000000005</v>
      </c>
      <c r="R8" s="126">
        <f t="shared" si="16"/>
        <v>5.223999999999819</v>
      </c>
      <c r="S8" s="127">
        <f>F8/Q8*100</f>
        <v>100.83490490650469</v>
      </c>
      <c r="T8" s="126">
        <f t="shared" ref="T8:T47" si="22">E8/12*10</f>
        <v>841.66666666666674</v>
      </c>
      <c r="U8" s="126">
        <f t="shared" si="17"/>
        <v>-210.74266666666688</v>
      </c>
      <c r="V8" s="127">
        <f t="shared" si="18"/>
        <v>74.961267326732653</v>
      </c>
      <c r="W8" s="127">
        <f t="shared" ref="W8:W78" si="23">F8/E8*100</f>
        <v>62.467722772277213</v>
      </c>
      <c r="X8" s="124">
        <v>787.23100000000011</v>
      </c>
      <c r="Y8" s="126">
        <f t="shared" si="19"/>
        <v>-156.30700000000024</v>
      </c>
      <c r="Z8" s="127">
        <f>F8/X8*100</f>
        <v>80.144709748472792</v>
      </c>
      <c r="AA8" s="81"/>
      <c r="AB8" s="81"/>
      <c r="AC8" s="81">
        <f>X7/0.5</f>
        <v>3811219.2920000008</v>
      </c>
      <c r="AD8" s="82">
        <f>AB8/AC8*100</f>
        <v>0</v>
      </c>
    </row>
    <row r="9" spans="1:41" s="83" customFormat="1" ht="23.25" x14ac:dyDescent="0.25">
      <c r="A9" s="79">
        <v>3</v>
      </c>
      <c r="B9" s="88" t="s">
        <v>102</v>
      </c>
      <c r="C9" s="80" t="s">
        <v>103</v>
      </c>
      <c r="D9" s="123">
        <f>SUM(D10:D13)</f>
        <v>484</v>
      </c>
      <c r="E9" s="123">
        <f>E10+E11+E12+E13</f>
        <v>619</v>
      </c>
      <c r="F9" s="124">
        <f t="shared" si="21"/>
        <v>454.59800000000007</v>
      </c>
      <c r="G9" s="123">
        <f t="shared" ref="G9:Q9" si="24">SUM(G10:G13)</f>
        <v>1.3639999999999999</v>
      </c>
      <c r="H9" s="123">
        <f t="shared" si="24"/>
        <v>157.91800000000001</v>
      </c>
      <c r="I9" s="123">
        <f t="shared" si="24"/>
        <v>0.187</v>
      </c>
      <c r="J9" s="123">
        <f t="shared" si="24"/>
        <v>1.9410000000000001</v>
      </c>
      <c r="K9" s="123">
        <f t="shared" ref="K9:M9" si="25">SUM(K10:K13)</f>
        <v>93.403000000000006</v>
      </c>
      <c r="L9" s="123">
        <f t="shared" si="25"/>
        <v>0.217</v>
      </c>
      <c r="M9" s="123">
        <f t="shared" si="25"/>
        <v>5.1079999999999997</v>
      </c>
      <c r="N9" s="123">
        <f t="shared" ref="N9" si="26">SUM(N10:N13)</f>
        <v>181.05600000000001</v>
      </c>
      <c r="O9" s="123">
        <f t="shared" ref="O9" si="27">SUM(O10:O13)</f>
        <v>0.30199999999999999</v>
      </c>
      <c r="P9" s="123">
        <f t="shared" si="24"/>
        <v>13.102</v>
      </c>
      <c r="Q9" s="123">
        <f t="shared" si="24"/>
        <v>440.37</v>
      </c>
      <c r="R9" s="126">
        <f t="shared" si="16"/>
        <v>14.228000000000065</v>
      </c>
      <c r="S9" s="127">
        <f>F9/Q9*100</f>
        <v>103.23091945409544</v>
      </c>
      <c r="T9" s="126">
        <f t="shared" si="22"/>
        <v>515.83333333333337</v>
      </c>
      <c r="U9" s="126">
        <f t="shared" si="17"/>
        <v>-61.235333333333301</v>
      </c>
      <c r="V9" s="127">
        <f t="shared" si="18"/>
        <v>88.128852988691449</v>
      </c>
      <c r="W9" s="127">
        <f t="shared" si="23"/>
        <v>73.440710823909541</v>
      </c>
      <c r="X9" s="124">
        <f>SUM(X10:X13)</f>
        <v>343.16100000000006</v>
      </c>
      <c r="Y9" s="126">
        <f t="shared" si="19"/>
        <v>111.43700000000001</v>
      </c>
      <c r="Z9" s="127">
        <f>F9/X9*100</f>
        <v>132.47367853573104</v>
      </c>
      <c r="AA9" s="81"/>
      <c r="AB9" s="81"/>
      <c r="AC9" s="81"/>
      <c r="AD9" s="82"/>
    </row>
    <row r="10" spans="1:41" s="83" customFormat="1" ht="58.5" x14ac:dyDescent="0.25">
      <c r="A10" s="84" t="s">
        <v>104</v>
      </c>
      <c r="B10" s="174" t="s">
        <v>150</v>
      </c>
      <c r="C10" s="178" t="s">
        <v>151</v>
      </c>
      <c r="D10" s="123">
        <v>23</v>
      </c>
      <c r="E10" s="123">
        <f t="shared" si="20"/>
        <v>23</v>
      </c>
      <c r="F10" s="129">
        <f t="shared" si="21"/>
        <v>12.968999999999999</v>
      </c>
      <c r="G10" s="123">
        <v>0</v>
      </c>
      <c r="H10" s="123">
        <v>4.5519999999999996</v>
      </c>
      <c r="I10" s="123">
        <v>0</v>
      </c>
      <c r="J10" s="123">
        <v>0</v>
      </c>
      <c r="K10" s="123">
        <v>4.2080000000000002</v>
      </c>
      <c r="L10" s="123">
        <v>0</v>
      </c>
      <c r="M10" s="123">
        <v>0</v>
      </c>
      <c r="N10" s="123">
        <v>4.2089999999999996</v>
      </c>
      <c r="O10" s="123">
        <v>0</v>
      </c>
      <c r="P10" s="123">
        <v>0</v>
      </c>
      <c r="Q10" s="125">
        <v>12.7</v>
      </c>
      <c r="R10" s="126">
        <f t="shared" ref="R10" si="28">F10-Q10</f>
        <v>0.26900000000000013</v>
      </c>
      <c r="S10" s="132">
        <f t="shared" ref="S10:S11" si="29">F10/Q10*100</f>
        <v>102.11811023622049</v>
      </c>
      <c r="T10" s="126">
        <f t="shared" si="22"/>
        <v>19.166666666666668</v>
      </c>
      <c r="U10" s="126">
        <f t="shared" ref="U10" si="30">F10-T10</f>
        <v>-6.1976666666666684</v>
      </c>
      <c r="V10" s="132">
        <f t="shared" si="18"/>
        <v>67.664347826086953</v>
      </c>
      <c r="W10" s="127">
        <f t="shared" si="23"/>
        <v>56.38695652173913</v>
      </c>
      <c r="X10" s="124">
        <v>17.615000000000002</v>
      </c>
      <c r="Y10" s="126">
        <f t="shared" si="19"/>
        <v>-4.6460000000000026</v>
      </c>
      <c r="Z10" s="127">
        <f t="shared" ref="Z10:Z11" si="31">F10/X10*100</f>
        <v>73.624751632131691</v>
      </c>
      <c r="AA10" s="81"/>
      <c r="AB10" s="81"/>
      <c r="AC10" s="81"/>
      <c r="AD10" s="82"/>
    </row>
    <row r="11" spans="1:41" s="87" customFormat="1" ht="78" x14ac:dyDescent="0.25">
      <c r="A11" s="84" t="s">
        <v>105</v>
      </c>
      <c r="B11" s="174" t="s">
        <v>97</v>
      </c>
      <c r="C11" s="71" t="s">
        <v>98</v>
      </c>
      <c r="D11" s="128">
        <v>160</v>
      </c>
      <c r="E11" s="128">
        <v>295</v>
      </c>
      <c r="F11" s="129">
        <f t="shared" si="21"/>
        <v>286.62600000000003</v>
      </c>
      <c r="G11" s="128">
        <v>0</v>
      </c>
      <c r="H11" s="128">
        <v>69.736000000000004</v>
      </c>
      <c r="I11" s="128">
        <v>0</v>
      </c>
      <c r="J11" s="128">
        <v>0</v>
      </c>
      <c r="K11" s="128">
        <v>58.252000000000002</v>
      </c>
      <c r="L11" s="128">
        <v>0</v>
      </c>
      <c r="M11" s="128">
        <v>0</v>
      </c>
      <c r="N11" s="128">
        <v>158.58799999999999</v>
      </c>
      <c r="O11" s="128">
        <v>0</v>
      </c>
      <c r="P11" s="128">
        <v>0.05</v>
      </c>
      <c r="Q11" s="130">
        <v>286</v>
      </c>
      <c r="R11" s="131">
        <f t="shared" si="16"/>
        <v>0.6260000000000332</v>
      </c>
      <c r="S11" s="132">
        <f t="shared" si="29"/>
        <v>100.21888111888113</v>
      </c>
      <c r="T11" s="131">
        <f t="shared" si="22"/>
        <v>245.83333333333331</v>
      </c>
      <c r="U11" s="131">
        <f t="shared" si="17"/>
        <v>40.792666666666719</v>
      </c>
      <c r="V11" s="132">
        <f t="shared" si="18"/>
        <v>116.59362711864409</v>
      </c>
      <c r="W11" s="132">
        <f t="shared" si="23"/>
        <v>97.161355932203392</v>
      </c>
      <c r="X11" s="129">
        <v>115.65200000000002</v>
      </c>
      <c r="Y11" s="131">
        <f t="shared" si="19"/>
        <v>170.97400000000002</v>
      </c>
      <c r="Z11" s="132">
        <f t="shared" si="31"/>
        <v>247.83488396223152</v>
      </c>
    </row>
    <row r="12" spans="1:41" s="87" customFormat="1" ht="39" x14ac:dyDescent="0.25">
      <c r="A12" s="84" t="s">
        <v>106</v>
      </c>
      <c r="B12" s="174" t="s">
        <v>137</v>
      </c>
      <c r="C12" s="71" t="s">
        <v>101</v>
      </c>
      <c r="D12" s="128">
        <v>86</v>
      </c>
      <c r="E12" s="128">
        <f t="shared" si="20"/>
        <v>86</v>
      </c>
      <c r="F12" s="129">
        <f t="shared" si="21"/>
        <v>69.323000000000008</v>
      </c>
      <c r="G12" s="128">
        <v>0.96</v>
      </c>
      <c r="H12" s="128">
        <v>19.995000000000001</v>
      </c>
      <c r="I12" s="128">
        <v>0.187</v>
      </c>
      <c r="J12" s="128">
        <v>1.9410000000000001</v>
      </c>
      <c r="K12" s="128">
        <v>20.943000000000001</v>
      </c>
      <c r="L12" s="128">
        <v>0.217</v>
      </c>
      <c r="M12" s="128">
        <v>5.1079999999999997</v>
      </c>
      <c r="N12" s="128">
        <v>17.46</v>
      </c>
      <c r="O12" s="128">
        <v>0.30199999999999999</v>
      </c>
      <c r="P12" s="128">
        <v>2.21</v>
      </c>
      <c r="Q12" s="130">
        <v>67.67</v>
      </c>
      <c r="R12" s="131">
        <f t="shared" si="16"/>
        <v>1.6530000000000058</v>
      </c>
      <c r="S12" s="132">
        <f>F12/Q12*100</f>
        <v>102.44273681099455</v>
      </c>
      <c r="T12" s="131">
        <f t="shared" si="22"/>
        <v>71.666666666666671</v>
      </c>
      <c r="U12" s="131">
        <f t="shared" si="17"/>
        <v>-2.3436666666666639</v>
      </c>
      <c r="V12" s="132">
        <f t="shared" si="18"/>
        <v>96.729767441860474</v>
      </c>
      <c r="W12" s="132">
        <f t="shared" si="23"/>
        <v>80.608139534883733</v>
      </c>
      <c r="X12" s="129">
        <v>57.292000000000009</v>
      </c>
      <c r="Y12" s="131">
        <f t="shared" si="19"/>
        <v>12.030999999999999</v>
      </c>
      <c r="Z12" s="132">
        <f>F12/X12*100</f>
        <v>120.99944145779516</v>
      </c>
    </row>
    <row r="13" spans="1:41" s="87" customFormat="1" ht="39" x14ac:dyDescent="0.25">
      <c r="A13" s="84" t="s">
        <v>152</v>
      </c>
      <c r="B13" s="174" t="s">
        <v>136</v>
      </c>
      <c r="C13" s="71" t="s">
        <v>135</v>
      </c>
      <c r="D13" s="128">
        <v>215</v>
      </c>
      <c r="E13" s="128">
        <f t="shared" si="20"/>
        <v>215</v>
      </c>
      <c r="F13" s="129">
        <f t="shared" si="21"/>
        <v>85.68</v>
      </c>
      <c r="G13" s="128">
        <v>0.40400000000000003</v>
      </c>
      <c r="H13" s="128">
        <v>63.634999999999998</v>
      </c>
      <c r="I13" s="128">
        <v>0</v>
      </c>
      <c r="J13" s="128">
        <v>0</v>
      </c>
      <c r="K13" s="128">
        <v>10</v>
      </c>
      <c r="L13" s="128">
        <v>0</v>
      </c>
      <c r="M13" s="128">
        <v>0</v>
      </c>
      <c r="N13" s="128">
        <v>0.79900000000000004</v>
      </c>
      <c r="O13" s="128">
        <v>0</v>
      </c>
      <c r="P13" s="128">
        <v>10.842000000000001</v>
      </c>
      <c r="Q13" s="130">
        <v>74</v>
      </c>
      <c r="R13" s="131">
        <f t="shared" si="16"/>
        <v>11.680000000000007</v>
      </c>
      <c r="S13" s="132">
        <f>F13/Q13*100</f>
        <v>115.7837837837838</v>
      </c>
      <c r="T13" s="131">
        <f t="shared" si="22"/>
        <v>179.16666666666669</v>
      </c>
      <c r="U13" s="131">
        <f t="shared" si="17"/>
        <v>-93.486666666666679</v>
      </c>
      <c r="V13" s="132">
        <f t="shared" si="18"/>
        <v>47.821395348837207</v>
      </c>
      <c r="W13" s="132">
        <f t="shared" si="23"/>
        <v>39.851162790697678</v>
      </c>
      <c r="X13" s="129">
        <v>152.602</v>
      </c>
      <c r="Y13" s="131">
        <f t="shared" si="19"/>
        <v>-66.921999999999997</v>
      </c>
      <c r="Z13" s="132">
        <f>F13/X13*100</f>
        <v>56.146053131675863</v>
      </c>
    </row>
    <row r="14" spans="1:41" s="83" customFormat="1" ht="23.25" x14ac:dyDescent="0.25">
      <c r="A14" s="79">
        <v>4</v>
      </c>
      <c r="B14" s="111" t="s">
        <v>88</v>
      </c>
      <c r="C14" s="106" t="s">
        <v>87</v>
      </c>
      <c r="D14" s="123">
        <f>SUM(D15:D17)</f>
        <v>283000</v>
      </c>
      <c r="E14" s="123">
        <f>SUM(E15:E17)</f>
        <v>193700</v>
      </c>
      <c r="F14" s="124">
        <f t="shared" si="21"/>
        <v>209596.84299999996</v>
      </c>
      <c r="G14" s="123">
        <f t="shared" ref="G14" si="32">SUM(G15:G17)</f>
        <v>13827.143</v>
      </c>
      <c r="H14" s="123">
        <f t="shared" ref="H14:L14" si="33">SUM(H15:H17)</f>
        <v>7447.0510000000004</v>
      </c>
      <c r="I14" s="123">
        <f t="shared" si="33"/>
        <v>25460.977000000003</v>
      </c>
      <c r="J14" s="123">
        <f t="shared" si="33"/>
        <v>6591.6589999999997</v>
      </c>
      <c r="K14" s="123">
        <f t="shared" si="33"/>
        <v>16293.985000000001</v>
      </c>
      <c r="L14" s="123">
        <f t="shared" si="33"/>
        <v>22376.260999999999</v>
      </c>
      <c r="M14" s="123">
        <f>SUM(M15:M17)</f>
        <v>21311.028999999999</v>
      </c>
      <c r="N14" s="123">
        <f>SUM(N15:N17)</f>
        <v>26225.684000000001</v>
      </c>
      <c r="O14" s="123">
        <f>SUM(O15:O17)</f>
        <v>29005.822</v>
      </c>
      <c r="P14" s="123">
        <f>SUM(P15:P17)</f>
        <v>41057.231999999996</v>
      </c>
      <c r="Q14" s="125">
        <f>SUM(Q15:Q17)</f>
        <v>161461.70600000001</v>
      </c>
      <c r="R14" s="126">
        <f t="shared" si="16"/>
        <v>48135.136999999959</v>
      </c>
      <c r="S14" s="127">
        <f>F14/Q14*100</f>
        <v>129.81210727452611</v>
      </c>
      <c r="T14" s="126">
        <f t="shared" si="22"/>
        <v>161416.66666666666</v>
      </c>
      <c r="U14" s="126">
        <f t="shared" si="17"/>
        <v>48180.176333333307</v>
      </c>
      <c r="V14" s="127">
        <f t="shared" si="18"/>
        <v>129.84832813629322</v>
      </c>
      <c r="W14" s="127">
        <f t="shared" si="23"/>
        <v>108.20694011357767</v>
      </c>
      <c r="X14" s="124">
        <f t="shared" ref="X14" si="34">SUM(X15:X17)</f>
        <v>216928.99400000001</v>
      </c>
      <c r="Y14" s="126">
        <f t="shared" si="19"/>
        <v>-7332.1510000000417</v>
      </c>
      <c r="Z14" s="127">
        <f>F14/X14*100</f>
        <v>96.620022586745577</v>
      </c>
    </row>
    <row r="15" spans="1:41" s="87" customFormat="1" ht="39" x14ac:dyDescent="0.25">
      <c r="A15" s="84" t="s">
        <v>119</v>
      </c>
      <c r="B15" s="174" t="s">
        <v>91</v>
      </c>
      <c r="C15" s="71" t="s">
        <v>85</v>
      </c>
      <c r="D15" s="128">
        <v>32000</v>
      </c>
      <c r="E15" s="128">
        <v>4200</v>
      </c>
      <c r="F15" s="129">
        <f t="shared" si="21"/>
        <v>4524.3289999999997</v>
      </c>
      <c r="G15" s="128">
        <v>0</v>
      </c>
      <c r="H15" s="128">
        <v>0</v>
      </c>
      <c r="I15" s="128">
        <v>4216.6000000000004</v>
      </c>
      <c r="J15" s="128">
        <v>8.0489999999999995</v>
      </c>
      <c r="K15" s="128">
        <v>2.7320000000000002</v>
      </c>
      <c r="L15" s="128">
        <v>3.6190000000000002</v>
      </c>
      <c r="M15" s="128">
        <v>0</v>
      </c>
      <c r="N15" s="128">
        <v>0</v>
      </c>
      <c r="O15" s="128">
        <v>12.317</v>
      </c>
      <c r="P15" s="128">
        <v>281.012</v>
      </c>
      <c r="Q15" s="130">
        <v>4200</v>
      </c>
      <c r="R15" s="131">
        <f t="shared" si="16"/>
        <v>324.32899999999972</v>
      </c>
      <c r="S15" s="132">
        <f t="shared" ref="S15:S28" si="35">F15/Q15*100</f>
        <v>107.72211904761903</v>
      </c>
      <c r="T15" s="131">
        <f t="shared" si="22"/>
        <v>3500</v>
      </c>
      <c r="U15" s="131">
        <f t="shared" si="17"/>
        <v>1024.3289999999997</v>
      </c>
      <c r="V15" s="132">
        <f t="shared" si="18"/>
        <v>129.26654285714284</v>
      </c>
      <c r="W15" s="132">
        <f t="shared" si="23"/>
        <v>107.72211904761903</v>
      </c>
      <c r="X15" s="129">
        <v>25667.237999999998</v>
      </c>
      <c r="Y15" s="131">
        <f t="shared" si="19"/>
        <v>-21142.909</v>
      </c>
      <c r="Z15" s="132">
        <f t="shared" ref="Z15:Z26" si="36">F15/X15*100</f>
        <v>17.6268634747533</v>
      </c>
      <c r="AA15" s="85">
        <f>X15+X16</f>
        <v>109290.751</v>
      </c>
      <c r="AB15" s="85">
        <f>F15+F16</f>
        <v>26051.031000000003</v>
      </c>
      <c r="AC15" s="85">
        <f>AB15-AA15</f>
        <v>-83239.72</v>
      </c>
      <c r="AD15" s="87">
        <v>-29512.880000000001</v>
      </c>
    </row>
    <row r="16" spans="1:41" s="87" customFormat="1" ht="39" x14ac:dyDescent="0.25">
      <c r="A16" s="84" t="s">
        <v>120</v>
      </c>
      <c r="B16" s="174" t="s">
        <v>92</v>
      </c>
      <c r="C16" s="71" t="s">
        <v>86</v>
      </c>
      <c r="D16" s="128">
        <v>106000</v>
      </c>
      <c r="E16" s="128">
        <v>14500</v>
      </c>
      <c r="F16" s="129">
        <f t="shared" si="21"/>
        <v>21526.702000000001</v>
      </c>
      <c r="G16" s="128">
        <v>0</v>
      </c>
      <c r="H16" s="128">
        <v>0</v>
      </c>
      <c r="I16" s="128">
        <v>14207.164000000001</v>
      </c>
      <c r="J16" s="128">
        <v>30.79</v>
      </c>
      <c r="K16" s="128">
        <v>45.231999999999999</v>
      </c>
      <c r="L16" s="128">
        <v>46.465000000000003</v>
      </c>
      <c r="M16" s="128">
        <v>0</v>
      </c>
      <c r="N16" s="128">
        <v>0</v>
      </c>
      <c r="O16" s="128">
        <v>387.39299999999997</v>
      </c>
      <c r="P16" s="128">
        <v>6809.6580000000004</v>
      </c>
      <c r="Q16" s="130">
        <v>14315</v>
      </c>
      <c r="R16" s="131">
        <f t="shared" si="16"/>
        <v>7211.7020000000011</v>
      </c>
      <c r="S16" s="132">
        <f t="shared" si="35"/>
        <v>150.37863779252532</v>
      </c>
      <c r="T16" s="131">
        <f t="shared" si="22"/>
        <v>12083.333333333332</v>
      </c>
      <c r="U16" s="131">
        <f t="shared" si="17"/>
        <v>9443.368666666669</v>
      </c>
      <c r="V16" s="132">
        <f t="shared" si="18"/>
        <v>178.15201655172416</v>
      </c>
      <c r="W16" s="132">
        <f t="shared" si="23"/>
        <v>148.46001379310346</v>
      </c>
      <c r="X16" s="129">
        <v>83623.513000000006</v>
      </c>
      <c r="Y16" s="131">
        <f t="shared" si="19"/>
        <v>-62096.811000000002</v>
      </c>
      <c r="Z16" s="132">
        <f t="shared" si="36"/>
        <v>25.742403335769925</v>
      </c>
    </row>
    <row r="17" spans="1:29" s="87" customFormat="1" ht="39" x14ac:dyDescent="0.25">
      <c r="A17" s="84" t="s">
        <v>121</v>
      </c>
      <c r="B17" s="174" t="s">
        <v>93</v>
      </c>
      <c r="C17" s="71" t="s">
        <v>55</v>
      </c>
      <c r="D17" s="128">
        <v>145000</v>
      </c>
      <c r="E17" s="128">
        <f>SUM(E18:E19)</f>
        <v>175000</v>
      </c>
      <c r="F17" s="129">
        <f t="shared" si="21"/>
        <v>183545.81200000001</v>
      </c>
      <c r="G17" s="128">
        <v>13827.143</v>
      </c>
      <c r="H17" s="128">
        <v>7447.0510000000004</v>
      </c>
      <c r="I17" s="128">
        <v>7037.2129999999997</v>
      </c>
      <c r="J17" s="128">
        <v>6552.82</v>
      </c>
      <c r="K17" s="128">
        <v>16246.021000000001</v>
      </c>
      <c r="L17" s="128">
        <v>22326.177</v>
      </c>
      <c r="M17" s="128">
        <v>21311.028999999999</v>
      </c>
      <c r="N17" s="130">
        <f>SUM(N18:N19)</f>
        <v>26225.684000000001</v>
      </c>
      <c r="O17" s="130">
        <f>SUM(O18:O19)</f>
        <v>28606.112000000001</v>
      </c>
      <c r="P17" s="130">
        <f>SUM(P18:P19)</f>
        <v>33966.561999999998</v>
      </c>
      <c r="Q17" s="130">
        <f>SUM(Q18:Q19)</f>
        <v>142946.70600000001</v>
      </c>
      <c r="R17" s="131">
        <f t="shared" si="16"/>
        <v>40599.106</v>
      </c>
      <c r="S17" s="132">
        <f t="shared" si="35"/>
        <v>128.40156806411477</v>
      </c>
      <c r="T17" s="131">
        <f t="shared" si="22"/>
        <v>145833.33333333334</v>
      </c>
      <c r="U17" s="131">
        <f t="shared" si="17"/>
        <v>37712.478666666662</v>
      </c>
      <c r="V17" s="132">
        <f t="shared" si="18"/>
        <v>125.85998537142858</v>
      </c>
      <c r="W17" s="132">
        <f t="shared" si="23"/>
        <v>104.88332114285714</v>
      </c>
      <c r="X17" s="129">
        <v>107638.243</v>
      </c>
      <c r="Y17" s="131">
        <f t="shared" si="19"/>
        <v>75907.569000000003</v>
      </c>
      <c r="Z17" s="132">
        <f t="shared" si="36"/>
        <v>170.52100339467637</v>
      </c>
    </row>
    <row r="18" spans="1:29" s="87" customFormat="1" ht="117" x14ac:dyDescent="0.25">
      <c r="A18" s="84" t="s">
        <v>189</v>
      </c>
      <c r="B18" s="174" t="s">
        <v>187</v>
      </c>
      <c r="C18" s="71" t="s">
        <v>185</v>
      </c>
      <c r="D18" s="128">
        <v>0</v>
      </c>
      <c r="E18" s="128">
        <v>30000</v>
      </c>
      <c r="F18" s="129">
        <f t="shared" si="21"/>
        <v>68943.366000000009</v>
      </c>
      <c r="G18" s="128">
        <v>0</v>
      </c>
      <c r="H18" s="128">
        <v>0</v>
      </c>
      <c r="I18" s="128">
        <v>0</v>
      </c>
      <c r="J18" s="128">
        <v>0</v>
      </c>
      <c r="K18" s="128">
        <v>0</v>
      </c>
      <c r="L18" s="128">
        <v>4774.2579999999998</v>
      </c>
      <c r="M18" s="128">
        <v>8364.5580000000009</v>
      </c>
      <c r="N18" s="128">
        <v>13008.678</v>
      </c>
      <c r="O18" s="128">
        <v>17925.605</v>
      </c>
      <c r="P18" s="128">
        <v>24870.267</v>
      </c>
      <c r="Q18" s="130">
        <v>30000</v>
      </c>
      <c r="R18" s="131">
        <f t="shared" ref="R18:R19" si="37">F18-Q18</f>
        <v>38943.366000000009</v>
      </c>
      <c r="S18" s="132">
        <f t="shared" ref="S18:S19" si="38">F18/Q18*100</f>
        <v>229.81122000000002</v>
      </c>
      <c r="T18" s="131">
        <f t="shared" si="22"/>
        <v>25000</v>
      </c>
      <c r="U18" s="131">
        <f t="shared" ref="U18:U19" si="39">F18-T18</f>
        <v>43943.366000000009</v>
      </c>
      <c r="V18" s="132">
        <f t="shared" ref="V18:V19" si="40">F18/T18*100</f>
        <v>275.77346400000005</v>
      </c>
      <c r="W18" s="132">
        <f t="shared" ref="W18:W19" si="41">F18/E18*100</f>
        <v>229.81122000000002</v>
      </c>
      <c r="X18" s="129">
        <v>0</v>
      </c>
      <c r="Y18" s="131">
        <f t="shared" si="19"/>
        <v>68943.366000000009</v>
      </c>
      <c r="Z18" s="132"/>
    </row>
    <row r="19" spans="1:29" s="87" customFormat="1" ht="78" x14ac:dyDescent="0.25">
      <c r="A19" s="84" t="s">
        <v>190</v>
      </c>
      <c r="B19" s="174" t="s">
        <v>188</v>
      </c>
      <c r="C19" s="71" t="s">
        <v>186</v>
      </c>
      <c r="D19" s="128">
        <v>0</v>
      </c>
      <c r="E19" s="128">
        <v>145000</v>
      </c>
      <c r="F19" s="129">
        <f t="shared" si="21"/>
        <v>114602.446</v>
      </c>
      <c r="G19" s="128">
        <v>13827.143</v>
      </c>
      <c r="H19" s="128">
        <v>7447.0510000000004</v>
      </c>
      <c r="I19" s="128">
        <v>7037.2129999999997</v>
      </c>
      <c r="J19" s="128">
        <v>6552.82</v>
      </c>
      <c r="K19" s="128">
        <v>16246.021000000001</v>
      </c>
      <c r="L19" s="128">
        <v>17551.919000000002</v>
      </c>
      <c r="M19" s="128">
        <v>12946.471</v>
      </c>
      <c r="N19" s="128">
        <v>13217.005999999999</v>
      </c>
      <c r="O19" s="128">
        <v>10680.507</v>
      </c>
      <c r="P19" s="128">
        <v>9096.2950000000001</v>
      </c>
      <c r="Q19" s="130">
        <v>112946.70600000001</v>
      </c>
      <c r="R19" s="131">
        <f t="shared" si="37"/>
        <v>1655.7399999999907</v>
      </c>
      <c r="S19" s="132">
        <f t="shared" si="38"/>
        <v>101.46594801976782</v>
      </c>
      <c r="T19" s="131">
        <f t="shared" si="22"/>
        <v>120833.33333333334</v>
      </c>
      <c r="U19" s="131">
        <f t="shared" si="39"/>
        <v>-6230.8873333333468</v>
      </c>
      <c r="V19" s="132">
        <f t="shared" si="40"/>
        <v>94.84340358620689</v>
      </c>
      <c r="W19" s="132">
        <f t="shared" si="41"/>
        <v>79.036169655172401</v>
      </c>
      <c r="X19" s="129">
        <v>0</v>
      </c>
      <c r="Y19" s="131">
        <f t="shared" si="19"/>
        <v>114602.446</v>
      </c>
      <c r="Z19" s="132"/>
    </row>
    <row r="20" spans="1:29" s="112" customFormat="1" ht="23.25" x14ac:dyDescent="0.25">
      <c r="A20" s="79">
        <v>5</v>
      </c>
      <c r="B20" s="88" t="s">
        <v>159</v>
      </c>
      <c r="C20" s="80" t="s">
        <v>160</v>
      </c>
      <c r="D20" s="123">
        <v>0</v>
      </c>
      <c r="E20" s="123">
        <f t="shared" si="20"/>
        <v>0</v>
      </c>
      <c r="F20" s="124">
        <f t="shared" si="21"/>
        <v>8.34</v>
      </c>
      <c r="G20" s="123">
        <v>0</v>
      </c>
      <c r="H20" s="123">
        <v>4.5270000000000001</v>
      </c>
      <c r="I20" s="123">
        <v>2.2519999999999998</v>
      </c>
      <c r="J20" s="123">
        <v>0</v>
      </c>
      <c r="K20" s="123">
        <v>0</v>
      </c>
      <c r="L20" s="123">
        <v>0</v>
      </c>
      <c r="M20" s="123">
        <v>0</v>
      </c>
      <c r="N20" s="123">
        <v>0</v>
      </c>
      <c r="O20" s="123">
        <v>0</v>
      </c>
      <c r="P20" s="123">
        <v>1.5609999999999999</v>
      </c>
      <c r="Q20" s="125">
        <v>0</v>
      </c>
      <c r="R20" s="126">
        <f t="shared" si="16"/>
        <v>8.34</v>
      </c>
      <c r="S20" s="127"/>
      <c r="T20" s="126">
        <f t="shared" si="22"/>
        <v>0</v>
      </c>
      <c r="U20" s="126">
        <f t="shared" si="17"/>
        <v>8.34</v>
      </c>
      <c r="V20" s="127"/>
      <c r="W20" s="127"/>
      <c r="X20" s="124">
        <v>0</v>
      </c>
      <c r="Y20" s="126">
        <f t="shared" si="19"/>
        <v>8.34</v>
      </c>
      <c r="Z20" s="127"/>
      <c r="AA20" s="159"/>
      <c r="AB20" s="159"/>
    </row>
    <row r="21" spans="1:29" s="112" customFormat="1" ht="39" x14ac:dyDescent="0.25">
      <c r="A21" s="79">
        <v>6</v>
      </c>
      <c r="B21" s="88" t="s">
        <v>156</v>
      </c>
      <c r="C21" s="80" t="s">
        <v>37</v>
      </c>
      <c r="D21" s="123">
        <f>D22+D23+D24+D26+D25</f>
        <v>1148486.2349999999</v>
      </c>
      <c r="E21" s="123">
        <f t="shared" si="20"/>
        <v>1148486.2349999999</v>
      </c>
      <c r="F21" s="124">
        <f>SUM(G21:P21)</f>
        <v>901161.91799999995</v>
      </c>
      <c r="G21" s="123">
        <f t="shared" ref="G21:Q21" si="42">G22+G23+G24+G26+G25</f>
        <v>103730.772</v>
      </c>
      <c r="H21" s="123">
        <f t="shared" ref="H21:K21" si="43">H22+H23+H24+H26+H25</f>
        <v>124787.39600000001</v>
      </c>
      <c r="I21" s="123">
        <f t="shared" si="43"/>
        <v>38829.206000000006</v>
      </c>
      <c r="J21" s="123">
        <f t="shared" si="43"/>
        <v>98595.522000000012</v>
      </c>
      <c r="K21" s="123">
        <f t="shared" si="43"/>
        <v>100774.00299999998</v>
      </c>
      <c r="L21" s="123">
        <f t="shared" ref="L21:P21" si="44">L22+L23+L24+L26+L25</f>
        <v>55356.574000000001</v>
      </c>
      <c r="M21" s="123">
        <f t="shared" ref="M21:O21" si="45">M22+M23+M24+M26+M25</f>
        <v>112530.819</v>
      </c>
      <c r="N21" s="123">
        <f t="shared" si="45"/>
        <v>83511.28</v>
      </c>
      <c r="O21" s="123">
        <f t="shared" si="45"/>
        <v>63891.531000000003</v>
      </c>
      <c r="P21" s="123">
        <f t="shared" si="44"/>
        <v>119154.81499999999</v>
      </c>
      <c r="Q21" s="125">
        <f t="shared" si="42"/>
        <v>892816.9580000001</v>
      </c>
      <c r="R21" s="126">
        <f t="shared" si="16"/>
        <v>8344.9599999998463</v>
      </c>
      <c r="S21" s="127">
        <f t="shared" si="35"/>
        <v>100.93467758707153</v>
      </c>
      <c r="T21" s="126">
        <f t="shared" si="22"/>
        <v>957071.86249999981</v>
      </c>
      <c r="U21" s="126">
        <f t="shared" si="17"/>
        <v>-55909.944499999867</v>
      </c>
      <c r="V21" s="127">
        <f t="shared" si="18"/>
        <v>94.158229210296113</v>
      </c>
      <c r="W21" s="127">
        <f t="shared" si="23"/>
        <v>78.465191008580092</v>
      </c>
      <c r="X21" s="124">
        <f t="shared" ref="X21" si="46">X22+X23+X24+X26+X25</f>
        <v>806957.25600000005</v>
      </c>
      <c r="Y21" s="126">
        <f t="shared" si="19"/>
        <v>94204.661999999895</v>
      </c>
      <c r="Z21" s="127">
        <f t="shared" si="36"/>
        <v>111.67405848321661</v>
      </c>
      <c r="AA21" s="159">
        <f>X23+X24+X22</f>
        <v>285386.18599999999</v>
      </c>
      <c r="AB21" s="159">
        <f>F22+F23+F24</f>
        <v>305096.93199999997</v>
      </c>
    </row>
    <row r="22" spans="1:29" s="114" customFormat="1" ht="23.25" x14ac:dyDescent="0.25">
      <c r="A22" s="113" t="s">
        <v>131</v>
      </c>
      <c r="B22" s="175" t="s">
        <v>56</v>
      </c>
      <c r="C22" s="197" t="s">
        <v>43</v>
      </c>
      <c r="D22" s="128">
        <v>116436.235</v>
      </c>
      <c r="E22" s="128">
        <f t="shared" si="20"/>
        <v>116436.235</v>
      </c>
      <c r="F22" s="129">
        <f t="shared" si="21"/>
        <v>101611.397</v>
      </c>
      <c r="G22" s="128">
        <v>13619.357</v>
      </c>
      <c r="H22" s="128">
        <v>3898.9369999999999</v>
      </c>
      <c r="I22" s="128">
        <v>2387.5859999999998</v>
      </c>
      <c r="J22" s="128">
        <v>14990.857</v>
      </c>
      <c r="K22" s="128">
        <v>6389.7920000000004</v>
      </c>
      <c r="L22" s="128">
        <v>4611.902</v>
      </c>
      <c r="M22" s="128">
        <v>20510.659</v>
      </c>
      <c r="N22" s="128">
        <v>7736.7430000000004</v>
      </c>
      <c r="O22" s="128">
        <v>5879.6890000000003</v>
      </c>
      <c r="P22" s="128">
        <v>21585.875</v>
      </c>
      <c r="Q22" s="130">
        <v>98374</v>
      </c>
      <c r="R22" s="131">
        <f t="shared" si="16"/>
        <v>3237.3969999999972</v>
      </c>
      <c r="S22" s="132">
        <f t="shared" si="35"/>
        <v>103.29090715026328</v>
      </c>
      <c r="T22" s="157">
        <f t="shared" si="22"/>
        <v>97030.195833333331</v>
      </c>
      <c r="U22" s="131">
        <f t="shared" si="17"/>
        <v>4581.2011666666658</v>
      </c>
      <c r="V22" s="132">
        <f t="shared" si="18"/>
        <v>104.72141803623245</v>
      </c>
      <c r="W22" s="132">
        <f t="shared" si="23"/>
        <v>87.267848363527037</v>
      </c>
      <c r="X22" s="129">
        <v>90684.623999999996</v>
      </c>
      <c r="Y22" s="131">
        <f t="shared" si="19"/>
        <v>10926.773000000001</v>
      </c>
      <c r="Z22" s="132">
        <f t="shared" si="36"/>
        <v>112.04920141698994</v>
      </c>
    </row>
    <row r="23" spans="1:29" s="114" customFormat="1" ht="23.25" x14ac:dyDescent="0.25">
      <c r="A23" s="84" t="s">
        <v>132</v>
      </c>
      <c r="B23" s="175" t="s">
        <v>7</v>
      </c>
      <c r="C23" s="197"/>
      <c r="D23" s="128">
        <v>271200</v>
      </c>
      <c r="E23" s="128">
        <f t="shared" si="20"/>
        <v>271200</v>
      </c>
      <c r="F23" s="129">
        <f t="shared" si="21"/>
        <v>202269.96399999998</v>
      </c>
      <c r="G23" s="128">
        <v>16688.975999999999</v>
      </c>
      <c r="H23" s="128">
        <v>18871.810000000001</v>
      </c>
      <c r="I23" s="128">
        <v>17285.558000000001</v>
      </c>
      <c r="J23" s="128">
        <v>17840.13</v>
      </c>
      <c r="K23" s="128">
        <v>22009.425999999999</v>
      </c>
      <c r="L23" s="128">
        <v>20843.353999999999</v>
      </c>
      <c r="M23" s="128">
        <v>24094.768</v>
      </c>
      <c r="N23" s="128">
        <v>22339.111000000001</v>
      </c>
      <c r="O23" s="128">
        <v>22364.482</v>
      </c>
      <c r="P23" s="128">
        <v>19932.348999999998</v>
      </c>
      <c r="Q23" s="130">
        <v>200980.92800000001</v>
      </c>
      <c r="R23" s="131">
        <f t="shared" si="16"/>
        <v>1289.0359999999637</v>
      </c>
      <c r="S23" s="132">
        <f t="shared" si="35"/>
        <v>100.64137229976366</v>
      </c>
      <c r="T23" s="126">
        <f t="shared" si="22"/>
        <v>226000</v>
      </c>
      <c r="U23" s="131">
        <f t="shared" si="17"/>
        <v>-23730.036000000022</v>
      </c>
      <c r="V23" s="132">
        <f t="shared" si="18"/>
        <v>89.499984070796444</v>
      </c>
      <c r="W23" s="132">
        <f t="shared" si="23"/>
        <v>74.583320058997032</v>
      </c>
      <c r="X23" s="129">
        <v>193270.86000000002</v>
      </c>
      <c r="Y23" s="131">
        <f t="shared" si="19"/>
        <v>8999.103999999963</v>
      </c>
      <c r="Z23" s="132">
        <f t="shared" si="36"/>
        <v>104.65621356473498</v>
      </c>
    </row>
    <row r="24" spans="1:29" s="114" customFormat="1" ht="23.25" x14ac:dyDescent="0.25">
      <c r="A24" s="84" t="s">
        <v>133</v>
      </c>
      <c r="B24" s="175" t="s">
        <v>57</v>
      </c>
      <c r="C24" s="197"/>
      <c r="D24" s="128">
        <v>1200</v>
      </c>
      <c r="E24" s="128">
        <f t="shared" si="20"/>
        <v>1200</v>
      </c>
      <c r="F24" s="129">
        <f t="shared" si="21"/>
        <v>1215.5709999999999</v>
      </c>
      <c r="G24" s="128">
        <v>247.57300000000001</v>
      </c>
      <c r="H24" s="128">
        <v>103.74299999999999</v>
      </c>
      <c r="I24" s="128">
        <v>29.167000000000002</v>
      </c>
      <c r="J24" s="128">
        <v>161.82400000000001</v>
      </c>
      <c r="K24" s="128">
        <v>44.17</v>
      </c>
      <c r="L24" s="128">
        <v>37.5</v>
      </c>
      <c r="M24" s="128">
        <v>206.25</v>
      </c>
      <c r="N24" s="128">
        <v>60.417000000000002</v>
      </c>
      <c r="O24" s="128">
        <v>93.75</v>
      </c>
      <c r="P24" s="128">
        <v>231.17699999999999</v>
      </c>
      <c r="Q24" s="130">
        <v>1004.9</v>
      </c>
      <c r="R24" s="131">
        <f t="shared" si="16"/>
        <v>210.67099999999994</v>
      </c>
      <c r="S24" s="132">
        <f t="shared" si="35"/>
        <v>120.96437456463329</v>
      </c>
      <c r="T24" s="126">
        <f t="shared" si="22"/>
        <v>1000</v>
      </c>
      <c r="U24" s="131">
        <f t="shared" si="17"/>
        <v>215.57099999999991</v>
      </c>
      <c r="V24" s="132">
        <f t="shared" si="18"/>
        <v>121.55709999999999</v>
      </c>
      <c r="W24" s="132">
        <f t="shared" si="23"/>
        <v>101.29758333333332</v>
      </c>
      <c r="X24" s="129">
        <v>1430.702</v>
      </c>
      <c r="Y24" s="131">
        <f t="shared" si="19"/>
        <v>-215.13100000000009</v>
      </c>
      <c r="Z24" s="132">
        <f t="shared" si="36"/>
        <v>84.963255800299436</v>
      </c>
      <c r="AA24" s="132">
        <f>100-Z24</f>
        <v>15.036744199700564</v>
      </c>
      <c r="AB24" s="115"/>
      <c r="AC24" s="116" t="e">
        <f>F22/#REF!*100</f>
        <v>#REF!</v>
      </c>
    </row>
    <row r="25" spans="1:29" s="118" customFormat="1" ht="23.25" x14ac:dyDescent="0.25">
      <c r="A25" s="84" t="s">
        <v>134</v>
      </c>
      <c r="B25" s="175" t="s">
        <v>39</v>
      </c>
      <c r="C25" s="117" t="s">
        <v>38</v>
      </c>
      <c r="D25" s="128">
        <v>2050</v>
      </c>
      <c r="E25" s="128">
        <f t="shared" si="20"/>
        <v>2050</v>
      </c>
      <c r="F25" s="129">
        <f t="shared" si="21"/>
        <v>1814.6990000000001</v>
      </c>
      <c r="G25" s="128">
        <v>94</v>
      </c>
      <c r="H25" s="128">
        <v>159.066</v>
      </c>
      <c r="I25" s="128">
        <v>113.41</v>
      </c>
      <c r="J25" s="128">
        <v>255.81100000000001</v>
      </c>
      <c r="K25" s="128">
        <v>385.988</v>
      </c>
      <c r="L25" s="128">
        <v>133.97999999999999</v>
      </c>
      <c r="M25" s="128">
        <v>177.36099999999999</v>
      </c>
      <c r="N25" s="128">
        <v>224.41</v>
      </c>
      <c r="O25" s="128">
        <v>76.155000000000001</v>
      </c>
      <c r="P25" s="128">
        <v>194.518</v>
      </c>
      <c r="Q25" s="130">
        <v>1812.5</v>
      </c>
      <c r="R25" s="131">
        <f t="shared" si="16"/>
        <v>2.1990000000000691</v>
      </c>
      <c r="S25" s="132">
        <f t="shared" si="35"/>
        <v>100.12132413793104</v>
      </c>
      <c r="T25" s="126">
        <f t="shared" si="22"/>
        <v>1708.3333333333335</v>
      </c>
      <c r="U25" s="131">
        <f t="shared" si="17"/>
        <v>106.36566666666658</v>
      </c>
      <c r="V25" s="132">
        <f t="shared" si="18"/>
        <v>106.22628292682926</v>
      </c>
      <c r="W25" s="132">
        <f t="shared" si="23"/>
        <v>88.521902439024387</v>
      </c>
      <c r="X25" s="129">
        <v>1244.8020000000001</v>
      </c>
      <c r="Y25" s="128">
        <f t="shared" si="19"/>
        <v>569.89699999999993</v>
      </c>
      <c r="Z25" s="132">
        <f t="shared" si="36"/>
        <v>145.78214045285915</v>
      </c>
    </row>
    <row r="26" spans="1:29" s="114" customFormat="1" ht="23.25" x14ac:dyDescent="0.25">
      <c r="A26" s="84" t="s">
        <v>169</v>
      </c>
      <c r="B26" s="175" t="s">
        <v>32</v>
      </c>
      <c r="C26" s="182" t="s">
        <v>33</v>
      </c>
      <c r="D26" s="128">
        <v>757600</v>
      </c>
      <c r="E26" s="128">
        <f t="shared" si="20"/>
        <v>757600</v>
      </c>
      <c r="F26" s="129">
        <f t="shared" si="21"/>
        <v>594250.28700000001</v>
      </c>
      <c r="G26" s="128">
        <v>73080.865999999995</v>
      </c>
      <c r="H26" s="128">
        <v>101753.84</v>
      </c>
      <c r="I26" s="128">
        <v>19013.485000000001</v>
      </c>
      <c r="J26" s="128">
        <v>65346.9</v>
      </c>
      <c r="K26" s="128">
        <v>71944.626999999993</v>
      </c>
      <c r="L26" s="128">
        <v>29729.838</v>
      </c>
      <c r="M26" s="128">
        <v>67541.781000000003</v>
      </c>
      <c r="N26" s="128">
        <v>53150.599000000002</v>
      </c>
      <c r="O26" s="128">
        <v>35477.455000000002</v>
      </c>
      <c r="P26" s="128">
        <v>77210.895999999993</v>
      </c>
      <c r="Q26" s="130">
        <v>590644.63</v>
      </c>
      <c r="R26" s="131">
        <f t="shared" si="16"/>
        <v>3605.6570000000065</v>
      </c>
      <c r="S26" s="132">
        <f t="shared" si="35"/>
        <v>100.61046131918611</v>
      </c>
      <c r="T26" s="126">
        <f t="shared" si="22"/>
        <v>631333.33333333337</v>
      </c>
      <c r="U26" s="131">
        <f t="shared" si="17"/>
        <v>-37083.046333333361</v>
      </c>
      <c r="V26" s="132">
        <f t="shared" si="18"/>
        <v>94.126233421330525</v>
      </c>
      <c r="W26" s="132">
        <f t="shared" si="23"/>
        <v>78.438527851108759</v>
      </c>
      <c r="X26" s="129">
        <v>520326.26800000004</v>
      </c>
      <c r="Y26" s="131">
        <f t="shared" si="19"/>
        <v>73924.018999999971</v>
      </c>
      <c r="Z26" s="132">
        <f t="shared" si="36"/>
        <v>114.20724332910288</v>
      </c>
      <c r="AB26" s="115"/>
      <c r="AC26" s="116" t="e">
        <f>F26/#REF!*100</f>
        <v>#REF!</v>
      </c>
    </row>
    <row r="27" spans="1:29" s="83" customFormat="1" ht="58.5" x14ac:dyDescent="0.25">
      <c r="A27" s="79">
        <v>7</v>
      </c>
      <c r="B27" s="88" t="s">
        <v>45</v>
      </c>
      <c r="C27" s="80" t="s">
        <v>17</v>
      </c>
      <c r="D27" s="123">
        <v>950</v>
      </c>
      <c r="E27" s="123">
        <f t="shared" si="20"/>
        <v>950</v>
      </c>
      <c r="F27" s="124">
        <f t="shared" si="21"/>
        <v>556.16099999999983</v>
      </c>
      <c r="G27" s="123">
        <v>1.284</v>
      </c>
      <c r="H27" s="123">
        <v>40.808</v>
      </c>
      <c r="I27" s="123">
        <v>10.311</v>
      </c>
      <c r="J27" s="123">
        <v>33.229999999999997</v>
      </c>
      <c r="K27" s="123">
        <v>104.869</v>
      </c>
      <c r="L27" s="123">
        <v>56.945</v>
      </c>
      <c r="M27" s="123">
        <v>0</v>
      </c>
      <c r="N27" s="123">
        <v>305.86399999999998</v>
      </c>
      <c r="O27" s="123">
        <v>0.05</v>
      </c>
      <c r="P27" s="123">
        <v>2.8</v>
      </c>
      <c r="Q27" s="125">
        <v>553</v>
      </c>
      <c r="R27" s="126">
        <f t="shared" si="16"/>
        <v>3.1609999999998308</v>
      </c>
      <c r="S27" s="127">
        <f t="shared" si="35"/>
        <v>100.57160940325494</v>
      </c>
      <c r="T27" s="126">
        <f t="shared" si="22"/>
        <v>791.66666666666674</v>
      </c>
      <c r="U27" s="126">
        <f t="shared" si="17"/>
        <v>-235.50566666666691</v>
      </c>
      <c r="V27" s="127">
        <f t="shared" si="18"/>
        <v>70.251915789473657</v>
      </c>
      <c r="W27" s="127">
        <f t="shared" si="23"/>
        <v>58.543263157894721</v>
      </c>
      <c r="X27" s="124">
        <v>610.952</v>
      </c>
      <c r="Y27" s="126">
        <f t="shared" si="19"/>
        <v>-54.791000000000167</v>
      </c>
      <c r="Z27" s="127">
        <f>F27/X27*100</f>
        <v>91.031865023766159</v>
      </c>
      <c r="AA27" s="82">
        <f>100-Z27</f>
        <v>8.9681349762338414</v>
      </c>
    </row>
    <row r="28" spans="1:29" s="83" customFormat="1" ht="39" x14ac:dyDescent="0.25">
      <c r="A28" s="79">
        <f t="shared" ref="A28:A35" si="47">A27+1</f>
        <v>8</v>
      </c>
      <c r="B28" s="88" t="s">
        <v>69</v>
      </c>
      <c r="C28" s="80" t="s">
        <v>68</v>
      </c>
      <c r="D28" s="123">
        <v>12000</v>
      </c>
      <c r="E28" s="123">
        <f t="shared" si="20"/>
        <v>12000</v>
      </c>
      <c r="F28" s="124">
        <f t="shared" si="21"/>
        <v>13442.008000000002</v>
      </c>
      <c r="G28" s="123">
        <v>501.13</v>
      </c>
      <c r="H28" s="123">
        <v>1239.694</v>
      </c>
      <c r="I28" s="123">
        <v>1250.075</v>
      </c>
      <c r="J28" s="123">
        <v>1209.75</v>
      </c>
      <c r="K28" s="123">
        <v>1250.0740000000001</v>
      </c>
      <c r="L28" s="123">
        <v>1209.751</v>
      </c>
      <c r="M28" s="123">
        <v>1250.075</v>
      </c>
      <c r="N28" s="123">
        <v>1250.075</v>
      </c>
      <c r="O28" s="123">
        <v>3031.3090000000002</v>
      </c>
      <c r="P28" s="123">
        <v>1250.075</v>
      </c>
      <c r="Q28" s="125">
        <v>12000</v>
      </c>
      <c r="R28" s="126">
        <f t="shared" si="16"/>
        <v>1442.0080000000016</v>
      </c>
      <c r="S28" s="127">
        <f t="shared" si="35"/>
        <v>112.01673333333335</v>
      </c>
      <c r="T28" s="126">
        <f t="shared" si="22"/>
        <v>10000</v>
      </c>
      <c r="U28" s="126">
        <f t="shared" si="17"/>
        <v>3442.0080000000016</v>
      </c>
      <c r="V28" s="127">
        <f t="shared" si="18"/>
        <v>134.42008000000001</v>
      </c>
      <c r="W28" s="127">
        <f t="shared" si="23"/>
        <v>112.01673333333335</v>
      </c>
      <c r="X28" s="124">
        <v>14201.043000000001</v>
      </c>
      <c r="Y28" s="126">
        <f t="shared" si="19"/>
        <v>-759.03499999999985</v>
      </c>
      <c r="Z28" s="127">
        <f>F28/X28*100</f>
        <v>94.655075687046363</v>
      </c>
    </row>
    <row r="29" spans="1:29" s="83" customFormat="1" ht="23.25" x14ac:dyDescent="0.25">
      <c r="A29" s="79">
        <f t="shared" si="47"/>
        <v>9</v>
      </c>
      <c r="B29" s="88" t="s">
        <v>8</v>
      </c>
      <c r="C29" s="80" t="s">
        <v>18</v>
      </c>
      <c r="D29" s="123">
        <v>6.1</v>
      </c>
      <c r="E29" s="123">
        <v>486.7</v>
      </c>
      <c r="F29" s="124">
        <f t="shared" si="21"/>
        <v>564.21399999999994</v>
      </c>
      <c r="G29" s="123">
        <v>0</v>
      </c>
      <c r="H29" s="123">
        <v>0</v>
      </c>
      <c r="I29" s="123">
        <v>0</v>
      </c>
      <c r="J29" s="123">
        <v>0</v>
      </c>
      <c r="K29" s="123">
        <v>0</v>
      </c>
      <c r="L29" s="123">
        <v>7.8390000000000004</v>
      </c>
      <c r="M29" s="123">
        <v>0.27300000000000002</v>
      </c>
      <c r="N29" s="123">
        <v>460.84699999999998</v>
      </c>
      <c r="O29" s="123">
        <v>56.49</v>
      </c>
      <c r="P29" s="123">
        <v>38.765000000000001</v>
      </c>
      <c r="Q29" s="125">
        <v>486.7</v>
      </c>
      <c r="R29" s="126">
        <f t="shared" si="16"/>
        <v>77.513999999999953</v>
      </c>
      <c r="S29" s="127">
        <f t="shared" ref="S29:S42" si="48">F29/Q29*100</f>
        <v>115.92644339428806</v>
      </c>
      <c r="T29" s="126">
        <f t="shared" si="22"/>
        <v>405.58333333333331</v>
      </c>
      <c r="U29" s="126">
        <f t="shared" si="17"/>
        <v>158.63066666666663</v>
      </c>
      <c r="V29" s="127">
        <f t="shared" si="18"/>
        <v>139.11173207314567</v>
      </c>
      <c r="W29" s="127">
        <f t="shared" si="23"/>
        <v>115.92644339428806</v>
      </c>
      <c r="X29" s="124">
        <v>6.0410000000000004</v>
      </c>
      <c r="Y29" s="126">
        <f t="shared" si="19"/>
        <v>558.17299999999989</v>
      </c>
      <c r="Z29" s="127">
        <f>F29/X29*100</f>
        <v>9339.7450753186549</v>
      </c>
    </row>
    <row r="30" spans="1:29" s="83" customFormat="1" ht="78" x14ac:dyDescent="0.25">
      <c r="A30" s="79">
        <f t="shared" si="47"/>
        <v>10</v>
      </c>
      <c r="B30" s="179" t="s">
        <v>89</v>
      </c>
      <c r="C30" s="107" t="s">
        <v>90</v>
      </c>
      <c r="D30" s="123">
        <v>0.05</v>
      </c>
      <c r="E30" s="123">
        <v>13.25</v>
      </c>
      <c r="F30" s="124">
        <f t="shared" si="21"/>
        <v>11.934999999999999</v>
      </c>
      <c r="G30" s="123">
        <v>5.1849999999999996</v>
      </c>
      <c r="H30" s="123">
        <v>0</v>
      </c>
      <c r="I30" s="123">
        <v>0</v>
      </c>
      <c r="J30" s="123">
        <v>0</v>
      </c>
      <c r="K30" s="123">
        <v>0</v>
      </c>
      <c r="L30" s="123">
        <v>0</v>
      </c>
      <c r="M30" s="123">
        <v>0</v>
      </c>
      <c r="N30" s="123">
        <v>0</v>
      </c>
      <c r="O30" s="123">
        <v>1.65</v>
      </c>
      <c r="P30" s="123">
        <v>5.0999999999999996</v>
      </c>
      <c r="Q30" s="125">
        <v>11.85</v>
      </c>
      <c r="R30" s="126">
        <f t="shared" si="16"/>
        <v>8.4999999999999076E-2</v>
      </c>
      <c r="S30" s="127">
        <f t="shared" si="48"/>
        <v>100.71729957805906</v>
      </c>
      <c r="T30" s="126">
        <f t="shared" si="22"/>
        <v>11.041666666666668</v>
      </c>
      <c r="U30" s="126">
        <f t="shared" si="17"/>
        <v>0.89333333333333087</v>
      </c>
      <c r="V30" s="127">
        <f t="shared" si="18"/>
        <v>108.09056603773584</v>
      </c>
      <c r="W30" s="127">
        <f t="shared" si="23"/>
        <v>90.075471698113191</v>
      </c>
      <c r="X30" s="124">
        <v>3.0000000000000001E-3</v>
      </c>
      <c r="Y30" s="126">
        <f t="shared" si="19"/>
        <v>11.931999999999999</v>
      </c>
      <c r="Z30" s="127">
        <f>F30/X30*100</f>
        <v>397833.33333333331</v>
      </c>
    </row>
    <row r="31" spans="1:29" s="83" customFormat="1" ht="23.25" x14ac:dyDescent="0.25">
      <c r="A31" s="79">
        <f t="shared" si="47"/>
        <v>11</v>
      </c>
      <c r="B31" s="142" t="s">
        <v>29</v>
      </c>
      <c r="C31" s="80" t="s">
        <v>24</v>
      </c>
      <c r="D31" s="123">
        <v>14300</v>
      </c>
      <c r="E31" s="123">
        <v>13366.3</v>
      </c>
      <c r="F31" s="124">
        <f t="shared" si="21"/>
        <v>7468.9389999999994</v>
      </c>
      <c r="G31" s="123">
        <v>1031.287</v>
      </c>
      <c r="H31" s="123">
        <v>1145.059</v>
      </c>
      <c r="I31" s="123">
        <v>101.938</v>
      </c>
      <c r="J31" s="123">
        <v>351.33600000000001</v>
      </c>
      <c r="K31" s="123">
        <v>604.69399999999996</v>
      </c>
      <c r="L31" s="123">
        <v>640.43100000000004</v>
      </c>
      <c r="M31" s="123">
        <v>810.04700000000003</v>
      </c>
      <c r="N31" s="123">
        <v>913.58399999999995</v>
      </c>
      <c r="O31" s="123">
        <v>993.47199999999998</v>
      </c>
      <c r="P31" s="123">
        <v>877.09100000000001</v>
      </c>
      <c r="Q31" s="125">
        <v>7418.8</v>
      </c>
      <c r="R31" s="126">
        <f t="shared" si="16"/>
        <v>50.138999999999214</v>
      </c>
      <c r="S31" s="127">
        <f t="shared" si="48"/>
        <v>100.67583706259771</v>
      </c>
      <c r="T31" s="126">
        <f t="shared" si="22"/>
        <v>11138.583333333334</v>
      </c>
      <c r="U31" s="126">
        <f t="shared" si="17"/>
        <v>-3669.6443333333345</v>
      </c>
      <c r="V31" s="127">
        <f t="shared" si="18"/>
        <v>67.054658357211778</v>
      </c>
      <c r="W31" s="127">
        <f t="shared" si="23"/>
        <v>55.878881964343165</v>
      </c>
      <c r="X31" s="124">
        <v>11118.273999999998</v>
      </c>
      <c r="Y31" s="126">
        <f t="shared" si="19"/>
        <v>-3649.3349999999982</v>
      </c>
      <c r="Z31" s="127">
        <f t="shared" ref="Z31:Z42" si="49">F31/X31*100</f>
        <v>67.177144581973792</v>
      </c>
      <c r="AA31" s="82">
        <f>P31-'[1]2021'!$I$29</f>
        <v>-16.875999999999976</v>
      </c>
    </row>
    <row r="32" spans="1:29" s="83" customFormat="1" ht="58.5" x14ac:dyDescent="0.25">
      <c r="A32" s="79">
        <f t="shared" si="47"/>
        <v>12</v>
      </c>
      <c r="B32" s="142" t="s">
        <v>79</v>
      </c>
      <c r="C32" s="80" t="s">
        <v>78</v>
      </c>
      <c r="D32" s="123">
        <v>560</v>
      </c>
      <c r="E32" s="123">
        <f t="shared" si="20"/>
        <v>560</v>
      </c>
      <c r="F32" s="124">
        <f t="shared" si="21"/>
        <v>338.84200000000004</v>
      </c>
      <c r="G32" s="123">
        <v>79.635000000000005</v>
      </c>
      <c r="H32" s="123">
        <v>6.94</v>
      </c>
      <c r="I32" s="123">
        <v>0</v>
      </c>
      <c r="J32" s="123">
        <v>0</v>
      </c>
      <c r="K32" s="123">
        <v>15.282</v>
      </c>
      <c r="L32" s="123">
        <v>43.445</v>
      </c>
      <c r="M32" s="123">
        <v>33.97</v>
      </c>
      <c r="N32" s="123">
        <v>0</v>
      </c>
      <c r="O32" s="123">
        <v>132.4</v>
      </c>
      <c r="P32" s="123">
        <v>27.17</v>
      </c>
      <c r="Q32" s="125">
        <v>338</v>
      </c>
      <c r="R32" s="126">
        <f t="shared" si="16"/>
        <v>0.84200000000004138</v>
      </c>
      <c r="S32" s="127">
        <f t="shared" si="48"/>
        <v>100.24911242603551</v>
      </c>
      <c r="T32" s="126">
        <f t="shared" si="22"/>
        <v>466.66666666666663</v>
      </c>
      <c r="U32" s="126">
        <f t="shared" si="17"/>
        <v>-127.82466666666659</v>
      </c>
      <c r="V32" s="127">
        <f t="shared" si="18"/>
        <v>72.609000000000009</v>
      </c>
      <c r="W32" s="127">
        <f t="shared" si="23"/>
        <v>60.5075</v>
      </c>
      <c r="X32" s="124">
        <v>452.12</v>
      </c>
      <c r="Y32" s="126">
        <f t="shared" si="19"/>
        <v>-113.27799999999996</v>
      </c>
      <c r="Z32" s="127">
        <f t="shared" si="49"/>
        <v>74.945147306024964</v>
      </c>
    </row>
    <row r="33" spans="1:33" s="83" customFormat="1" ht="23.25" x14ac:dyDescent="0.25">
      <c r="A33" s="79">
        <f t="shared" si="47"/>
        <v>13</v>
      </c>
      <c r="B33" s="142" t="s">
        <v>107</v>
      </c>
      <c r="C33" s="80" t="s">
        <v>108</v>
      </c>
      <c r="D33" s="123">
        <v>18563.54</v>
      </c>
      <c r="E33" s="123">
        <f t="shared" si="20"/>
        <v>18563.54</v>
      </c>
      <c r="F33" s="124">
        <f t="shared" si="21"/>
        <v>14785.801999999998</v>
      </c>
      <c r="G33" s="123">
        <v>1407.4690000000001</v>
      </c>
      <c r="H33" s="123">
        <v>1637.8989999999999</v>
      </c>
      <c r="I33" s="123">
        <v>1178.489</v>
      </c>
      <c r="J33" s="123">
        <v>1400.6790000000001</v>
      </c>
      <c r="K33" s="123">
        <v>1638.828</v>
      </c>
      <c r="L33" s="123">
        <v>1668.5050000000001</v>
      </c>
      <c r="M33" s="123">
        <v>1649.5060000000001</v>
      </c>
      <c r="N33" s="123">
        <v>1377.8789999999999</v>
      </c>
      <c r="O33" s="123">
        <v>1505.4459999999999</v>
      </c>
      <c r="P33" s="123">
        <v>1321.1020000000001</v>
      </c>
      <c r="Q33" s="125">
        <v>14748.54</v>
      </c>
      <c r="R33" s="126">
        <f t="shared" si="16"/>
        <v>37.261999999996988</v>
      </c>
      <c r="S33" s="127">
        <f t="shared" si="48"/>
        <v>100.2526487367563</v>
      </c>
      <c r="T33" s="126">
        <f t="shared" si="22"/>
        <v>15469.616666666669</v>
      </c>
      <c r="U33" s="126">
        <f t="shared" si="17"/>
        <v>-683.81466666667075</v>
      </c>
      <c r="V33" s="127">
        <f t="shared" si="18"/>
        <v>95.579627592582</v>
      </c>
      <c r="W33" s="127">
        <f t="shared" si="23"/>
        <v>79.649689660484995</v>
      </c>
      <c r="X33" s="124">
        <v>14679.564999999999</v>
      </c>
      <c r="Y33" s="126">
        <f t="shared" si="19"/>
        <v>106.23699999999917</v>
      </c>
      <c r="Z33" s="127">
        <f t="shared" si="49"/>
        <v>100.72370673109181</v>
      </c>
    </row>
    <row r="34" spans="1:33" s="83" customFormat="1" ht="78" x14ac:dyDescent="0.25">
      <c r="A34" s="79">
        <f t="shared" si="47"/>
        <v>14</v>
      </c>
      <c r="B34" s="142" t="s">
        <v>153</v>
      </c>
      <c r="C34" s="80" t="s">
        <v>154</v>
      </c>
      <c r="D34" s="123">
        <v>35</v>
      </c>
      <c r="E34" s="123">
        <v>48</v>
      </c>
      <c r="F34" s="124">
        <f t="shared" si="21"/>
        <v>46.724000000000004</v>
      </c>
      <c r="G34" s="123">
        <v>8.39</v>
      </c>
      <c r="H34" s="123">
        <v>6.0720000000000001</v>
      </c>
      <c r="I34" s="123">
        <v>1.95</v>
      </c>
      <c r="J34" s="123">
        <v>1.95</v>
      </c>
      <c r="K34" s="123">
        <v>6.2619999999999996</v>
      </c>
      <c r="L34" s="123">
        <v>5.85</v>
      </c>
      <c r="M34" s="123">
        <v>1.3</v>
      </c>
      <c r="N34" s="123">
        <v>9.75</v>
      </c>
      <c r="O34" s="123">
        <v>3.25</v>
      </c>
      <c r="P34" s="123">
        <v>1.95</v>
      </c>
      <c r="Q34" s="125">
        <v>46.7</v>
      </c>
      <c r="R34" s="126">
        <f t="shared" si="16"/>
        <v>2.4000000000000909E-2</v>
      </c>
      <c r="S34" s="127">
        <f t="shared" si="48"/>
        <v>100.05139186295504</v>
      </c>
      <c r="T34" s="126">
        <f t="shared" si="22"/>
        <v>40</v>
      </c>
      <c r="U34" s="126">
        <f t="shared" ref="U34" si="50">F34-T34</f>
        <v>6.7240000000000038</v>
      </c>
      <c r="V34" s="127">
        <f>F34/T34*100</f>
        <v>116.81000000000002</v>
      </c>
      <c r="W34" s="127">
        <f t="shared" si="23"/>
        <v>97.341666666666669</v>
      </c>
      <c r="X34" s="124">
        <v>26.199999999999996</v>
      </c>
      <c r="Y34" s="126">
        <f t="shared" si="19"/>
        <v>20.524000000000008</v>
      </c>
      <c r="Z34" s="127">
        <f t="shared" si="49"/>
        <v>178.33587786259545</v>
      </c>
    </row>
    <row r="35" spans="1:33" s="83" customFormat="1" ht="23.25" x14ac:dyDescent="0.25">
      <c r="A35" s="79">
        <f t="shared" si="47"/>
        <v>15</v>
      </c>
      <c r="B35" s="142" t="s">
        <v>81</v>
      </c>
      <c r="C35" s="80" t="s">
        <v>80</v>
      </c>
      <c r="D35" s="123">
        <f>SUM(D36:D39)</f>
        <v>34832</v>
      </c>
      <c r="E35" s="123">
        <f t="shared" si="20"/>
        <v>34832</v>
      </c>
      <c r="F35" s="124">
        <f t="shared" si="21"/>
        <v>34826.544000000002</v>
      </c>
      <c r="G35" s="123">
        <f t="shared" ref="G35:Q35" si="51">SUM(G36:G39)</f>
        <v>2780.7419999999997</v>
      </c>
      <c r="H35" s="123">
        <f t="shared" ref="H35:O35" si="52">SUM(H36:H39)</f>
        <v>3150.4559999999997</v>
      </c>
      <c r="I35" s="123">
        <f t="shared" si="52"/>
        <v>1405.0839999999998</v>
      </c>
      <c r="J35" s="123">
        <f t="shared" si="52"/>
        <v>3801.056</v>
      </c>
      <c r="K35" s="123">
        <f t="shared" si="52"/>
        <v>4568.1049999999996</v>
      </c>
      <c r="L35" s="123">
        <f t="shared" si="52"/>
        <v>4663.393</v>
      </c>
      <c r="M35" s="123">
        <f t="shared" si="52"/>
        <v>4146.7790000000005</v>
      </c>
      <c r="N35" s="123">
        <f t="shared" si="52"/>
        <v>3864.8069999999998</v>
      </c>
      <c r="O35" s="123">
        <f t="shared" si="52"/>
        <v>3321.2219999999998</v>
      </c>
      <c r="P35" s="123">
        <f t="shared" si="51"/>
        <v>3124.8999999999996</v>
      </c>
      <c r="Q35" s="125">
        <f t="shared" si="51"/>
        <v>33349.557999999997</v>
      </c>
      <c r="R35" s="126">
        <f t="shared" si="16"/>
        <v>1476.9860000000044</v>
      </c>
      <c r="S35" s="127">
        <f t="shared" si="48"/>
        <v>104.42880232475646</v>
      </c>
      <c r="T35" s="126">
        <f t="shared" si="22"/>
        <v>29026.666666666664</v>
      </c>
      <c r="U35" s="126">
        <f t="shared" si="17"/>
        <v>5799.8773333333374</v>
      </c>
      <c r="V35" s="127">
        <f t="shared" si="18"/>
        <v>119.98120349104273</v>
      </c>
      <c r="W35" s="127">
        <f t="shared" si="23"/>
        <v>99.984336242535605</v>
      </c>
      <c r="X35" s="124">
        <f t="shared" ref="X35" si="53">SUM(X36:X39)</f>
        <v>27536.462000000003</v>
      </c>
      <c r="Y35" s="126">
        <f t="shared" si="19"/>
        <v>7290.0819999999985</v>
      </c>
      <c r="Z35" s="127">
        <f t="shared" si="49"/>
        <v>126.47428707435253</v>
      </c>
      <c r="AA35" s="81">
        <f>P35-'[1]2021'!$I$33</f>
        <v>568.62299999999959</v>
      </c>
    </row>
    <row r="36" spans="1:33" s="87" customFormat="1" ht="58.5" x14ac:dyDescent="0.25">
      <c r="A36" s="84" t="s">
        <v>170</v>
      </c>
      <c r="B36" s="143" t="s">
        <v>73</v>
      </c>
      <c r="C36" s="182" t="s">
        <v>72</v>
      </c>
      <c r="D36" s="128">
        <v>1500</v>
      </c>
      <c r="E36" s="128">
        <f t="shared" si="20"/>
        <v>1500</v>
      </c>
      <c r="F36" s="129">
        <f t="shared" si="21"/>
        <v>811.68599999999992</v>
      </c>
      <c r="G36" s="128">
        <v>105.29900000000001</v>
      </c>
      <c r="H36" s="128">
        <v>116.64</v>
      </c>
      <c r="I36" s="128">
        <v>11.1</v>
      </c>
      <c r="J36" s="128">
        <v>63.677999999999997</v>
      </c>
      <c r="K36" s="128">
        <v>77.98</v>
      </c>
      <c r="L36" s="128">
        <v>79.364000000000004</v>
      </c>
      <c r="M36" s="128">
        <v>54.024999999999999</v>
      </c>
      <c r="N36" s="128">
        <v>98.861999999999995</v>
      </c>
      <c r="O36" s="128">
        <v>104.548</v>
      </c>
      <c r="P36" s="128">
        <v>100.19</v>
      </c>
      <c r="Q36" s="130">
        <v>807</v>
      </c>
      <c r="R36" s="131">
        <f t="shared" si="16"/>
        <v>4.6859999999999218</v>
      </c>
      <c r="S36" s="132">
        <f t="shared" si="48"/>
        <v>100.5806691449814</v>
      </c>
      <c r="T36" s="126">
        <f t="shared" si="22"/>
        <v>1250</v>
      </c>
      <c r="U36" s="131">
        <f t="shared" si="17"/>
        <v>-438.31400000000008</v>
      </c>
      <c r="V36" s="132">
        <f t="shared" si="18"/>
        <v>64.934879999999993</v>
      </c>
      <c r="W36" s="132">
        <f t="shared" si="23"/>
        <v>54.112399999999994</v>
      </c>
      <c r="X36" s="129">
        <v>1228.3240000000001</v>
      </c>
      <c r="Y36" s="131">
        <f t="shared" si="19"/>
        <v>-416.63800000000015</v>
      </c>
      <c r="Z36" s="132">
        <f t="shared" si="49"/>
        <v>66.080773476704834</v>
      </c>
      <c r="AA36" s="132">
        <f>Z36-100</f>
        <v>-33.919226523295166</v>
      </c>
      <c r="AB36" s="85"/>
    </row>
    <row r="37" spans="1:33" s="87" customFormat="1" ht="23.25" x14ac:dyDescent="0.25">
      <c r="A37" s="84" t="s">
        <v>171</v>
      </c>
      <c r="B37" s="144" t="s">
        <v>58</v>
      </c>
      <c r="C37" s="71" t="s">
        <v>59</v>
      </c>
      <c r="D37" s="128">
        <v>32000</v>
      </c>
      <c r="E37" s="128">
        <f t="shared" si="20"/>
        <v>32000</v>
      </c>
      <c r="F37" s="129">
        <f t="shared" si="21"/>
        <v>33468.243000000002</v>
      </c>
      <c r="G37" s="128">
        <v>2558.1509999999998</v>
      </c>
      <c r="H37" s="128">
        <v>2929.93</v>
      </c>
      <c r="I37" s="128">
        <v>1393.9839999999999</v>
      </c>
      <c r="J37" s="128">
        <v>3737.3780000000002</v>
      </c>
      <c r="K37" s="128">
        <v>4482.4160000000002</v>
      </c>
      <c r="L37" s="128">
        <v>4520.701</v>
      </c>
      <c r="M37" s="128">
        <v>4015.95</v>
      </c>
      <c r="N37" s="128">
        <v>3706.2649999999999</v>
      </c>
      <c r="O37" s="128">
        <v>3168.8440000000001</v>
      </c>
      <c r="P37" s="128">
        <v>2954.6239999999998</v>
      </c>
      <c r="Q37" s="130">
        <v>32000</v>
      </c>
      <c r="R37" s="131">
        <f t="shared" si="16"/>
        <v>1468.2430000000022</v>
      </c>
      <c r="S37" s="132">
        <f t="shared" si="48"/>
        <v>104.58825937500001</v>
      </c>
      <c r="T37" s="126">
        <f t="shared" si="22"/>
        <v>26666.666666666664</v>
      </c>
      <c r="U37" s="131">
        <f t="shared" si="17"/>
        <v>6801.576333333338</v>
      </c>
      <c r="V37" s="132">
        <f t="shared" si="18"/>
        <v>125.50591125000001</v>
      </c>
      <c r="W37" s="132">
        <f t="shared" si="23"/>
        <v>104.58825937500001</v>
      </c>
      <c r="X37" s="129">
        <v>25221.091</v>
      </c>
      <c r="Y37" s="131">
        <f t="shared" si="19"/>
        <v>8247.1520000000019</v>
      </c>
      <c r="Z37" s="132">
        <f t="shared" si="49"/>
        <v>132.69942604782642</v>
      </c>
      <c r="AA37" s="132">
        <f>Z37-100</f>
        <v>32.699426047826421</v>
      </c>
      <c r="AB37" s="86"/>
    </row>
    <row r="38" spans="1:33" s="87" customFormat="1" ht="39" x14ac:dyDescent="0.25">
      <c r="A38" s="84" t="s">
        <v>172</v>
      </c>
      <c r="B38" s="144" t="s">
        <v>77</v>
      </c>
      <c r="C38" s="71" t="s">
        <v>74</v>
      </c>
      <c r="D38" s="128">
        <v>1250</v>
      </c>
      <c r="E38" s="128">
        <f t="shared" si="20"/>
        <v>1250</v>
      </c>
      <c r="F38" s="129">
        <f t="shared" si="21"/>
        <v>513.53499999999997</v>
      </c>
      <c r="G38" s="128">
        <v>109.502</v>
      </c>
      <c r="H38" s="128">
        <v>95.206000000000003</v>
      </c>
      <c r="I38" s="128">
        <v>0</v>
      </c>
      <c r="J38" s="128">
        <v>0</v>
      </c>
      <c r="K38" s="128">
        <v>7.7089999999999996</v>
      </c>
      <c r="L38" s="128">
        <v>59.607999999999997</v>
      </c>
      <c r="M38" s="128">
        <v>73.084000000000003</v>
      </c>
      <c r="N38" s="128">
        <v>54.23</v>
      </c>
      <c r="O38" s="128">
        <v>47.83</v>
      </c>
      <c r="P38" s="128">
        <v>66.366</v>
      </c>
      <c r="Q38" s="130">
        <v>509.7</v>
      </c>
      <c r="R38" s="131">
        <f t="shared" si="16"/>
        <v>3.8349999999999795</v>
      </c>
      <c r="S38" s="132">
        <f t="shared" si="48"/>
        <v>100.75240337453404</v>
      </c>
      <c r="T38" s="126">
        <f t="shared" si="22"/>
        <v>1041.6666666666667</v>
      </c>
      <c r="U38" s="131">
        <f t="shared" si="17"/>
        <v>-528.13166666666677</v>
      </c>
      <c r="V38" s="132">
        <f t="shared" si="18"/>
        <v>49.299359999999993</v>
      </c>
      <c r="W38" s="132">
        <f t="shared" si="23"/>
        <v>41.082799999999999</v>
      </c>
      <c r="X38" s="129">
        <v>1014.3469999999998</v>
      </c>
      <c r="Y38" s="131">
        <f t="shared" si="19"/>
        <v>-500.81199999999978</v>
      </c>
      <c r="Z38" s="132">
        <f t="shared" si="49"/>
        <v>50.627152246716363</v>
      </c>
    </row>
    <row r="39" spans="1:33" s="87" customFormat="1" ht="117" x14ac:dyDescent="0.25">
      <c r="A39" s="84" t="s">
        <v>173</v>
      </c>
      <c r="B39" s="145" t="s">
        <v>76</v>
      </c>
      <c r="C39" s="71" t="s">
        <v>75</v>
      </c>
      <c r="D39" s="128">
        <v>82</v>
      </c>
      <c r="E39" s="128">
        <f t="shared" si="20"/>
        <v>82</v>
      </c>
      <c r="F39" s="129">
        <f t="shared" si="21"/>
        <v>33.08</v>
      </c>
      <c r="G39" s="128">
        <v>7.79</v>
      </c>
      <c r="H39" s="128">
        <v>8.68</v>
      </c>
      <c r="I39" s="128">
        <v>0</v>
      </c>
      <c r="J39" s="128">
        <v>0</v>
      </c>
      <c r="K39" s="128">
        <v>0</v>
      </c>
      <c r="L39" s="128">
        <v>3.72</v>
      </c>
      <c r="M39" s="128">
        <v>3.72</v>
      </c>
      <c r="N39" s="128">
        <v>5.45</v>
      </c>
      <c r="O39" s="128">
        <v>0</v>
      </c>
      <c r="P39" s="128">
        <v>3.72</v>
      </c>
      <c r="Q39" s="130">
        <v>32.857999999999997</v>
      </c>
      <c r="R39" s="131">
        <f t="shared" si="16"/>
        <v>0.22200000000000131</v>
      </c>
      <c r="S39" s="132">
        <f t="shared" si="48"/>
        <v>100.67563454866395</v>
      </c>
      <c r="T39" s="126">
        <f t="shared" si="22"/>
        <v>68.333333333333329</v>
      </c>
      <c r="U39" s="131">
        <f t="shared" si="17"/>
        <v>-35.25333333333333</v>
      </c>
      <c r="V39" s="132">
        <f t="shared" si="18"/>
        <v>48.409756097560972</v>
      </c>
      <c r="W39" s="132">
        <f t="shared" si="23"/>
        <v>40.341463414634141</v>
      </c>
      <c r="X39" s="129">
        <v>72.7</v>
      </c>
      <c r="Y39" s="131">
        <f t="shared" si="19"/>
        <v>-39.620000000000005</v>
      </c>
      <c r="Z39" s="132">
        <f t="shared" si="49"/>
        <v>45.502063273727643</v>
      </c>
    </row>
    <row r="40" spans="1:33" s="83" customFormat="1" ht="58.5" x14ac:dyDescent="0.25">
      <c r="A40" s="79">
        <v>16</v>
      </c>
      <c r="B40" s="179" t="s">
        <v>34</v>
      </c>
      <c r="C40" s="80" t="s">
        <v>19</v>
      </c>
      <c r="D40" s="123">
        <v>12300</v>
      </c>
      <c r="E40" s="123">
        <f t="shared" si="20"/>
        <v>12300</v>
      </c>
      <c r="F40" s="124">
        <f t="shared" si="21"/>
        <v>9764.3159999999989</v>
      </c>
      <c r="G40" s="123">
        <v>1496.537</v>
      </c>
      <c r="H40" s="123">
        <v>908.92200000000003</v>
      </c>
      <c r="I40" s="123">
        <v>518.16800000000001</v>
      </c>
      <c r="J40" s="123">
        <v>785.06899999999996</v>
      </c>
      <c r="K40" s="123">
        <v>845.65599999999995</v>
      </c>
      <c r="L40" s="123">
        <v>989.053</v>
      </c>
      <c r="M40" s="123">
        <v>1044.1600000000001</v>
      </c>
      <c r="N40" s="123">
        <v>933.52200000000005</v>
      </c>
      <c r="O40" s="123">
        <v>1140.107</v>
      </c>
      <c r="P40" s="123">
        <v>1103.1220000000001</v>
      </c>
      <c r="Q40" s="125">
        <v>9400.2999999999993</v>
      </c>
      <c r="R40" s="126">
        <f t="shared" si="16"/>
        <v>364.01599999999962</v>
      </c>
      <c r="S40" s="127">
        <f t="shared" si="48"/>
        <v>103.87238705147708</v>
      </c>
      <c r="T40" s="126">
        <f t="shared" si="22"/>
        <v>10250</v>
      </c>
      <c r="U40" s="126">
        <f t="shared" si="17"/>
        <v>-485.68400000000111</v>
      </c>
      <c r="V40" s="127">
        <f t="shared" si="18"/>
        <v>95.261619512195111</v>
      </c>
      <c r="W40" s="127">
        <f t="shared" si="23"/>
        <v>79.384682926829271</v>
      </c>
      <c r="X40" s="124">
        <v>10175.238000000001</v>
      </c>
      <c r="Y40" s="126">
        <f t="shared" si="19"/>
        <v>-410.9220000000023</v>
      </c>
      <c r="Z40" s="127">
        <f t="shared" si="49"/>
        <v>95.961549007502313</v>
      </c>
      <c r="AA40" s="81">
        <f>P40-'[1]2021'!$I$38</f>
        <v>94.220000000000027</v>
      </c>
    </row>
    <row r="41" spans="1:33" s="83" customFormat="1" ht="23.25" x14ac:dyDescent="0.25">
      <c r="A41" s="79">
        <f t="shared" ref="A41:A47" si="54">A40+1</f>
        <v>17</v>
      </c>
      <c r="B41" s="88" t="s">
        <v>53</v>
      </c>
      <c r="C41" s="80" t="s">
        <v>15</v>
      </c>
      <c r="D41" s="123">
        <v>600</v>
      </c>
      <c r="E41" s="123">
        <f t="shared" si="20"/>
        <v>600</v>
      </c>
      <c r="F41" s="124">
        <f t="shared" si="21"/>
        <v>299.209</v>
      </c>
      <c r="G41" s="123">
        <v>46.207000000000001</v>
      </c>
      <c r="H41" s="123">
        <v>38.993000000000002</v>
      </c>
      <c r="I41" s="123">
        <v>5.9279999999999999</v>
      </c>
      <c r="J41" s="123">
        <v>15.554</v>
      </c>
      <c r="K41" s="123">
        <v>20.102</v>
      </c>
      <c r="L41" s="123">
        <v>33.802</v>
      </c>
      <c r="M41" s="123">
        <v>27.401</v>
      </c>
      <c r="N41" s="123">
        <v>33.555</v>
      </c>
      <c r="O41" s="123">
        <v>47.156999999999996</v>
      </c>
      <c r="P41" s="123">
        <v>30.51</v>
      </c>
      <c r="Q41" s="125">
        <v>292.69200000000001</v>
      </c>
      <c r="R41" s="126">
        <f t="shared" si="16"/>
        <v>6.5169999999999959</v>
      </c>
      <c r="S41" s="127">
        <f t="shared" si="48"/>
        <v>102.22657264291473</v>
      </c>
      <c r="T41" s="126">
        <f t="shared" si="22"/>
        <v>500</v>
      </c>
      <c r="U41" s="126">
        <f t="shared" si="17"/>
        <v>-200.791</v>
      </c>
      <c r="V41" s="127">
        <f t="shared" si="18"/>
        <v>59.841799999999999</v>
      </c>
      <c r="W41" s="127">
        <f t="shared" si="23"/>
        <v>49.868166666666667</v>
      </c>
      <c r="X41" s="124">
        <v>563.25900000000001</v>
      </c>
      <c r="Y41" s="126">
        <f t="shared" si="19"/>
        <v>-264.05</v>
      </c>
      <c r="Z41" s="127">
        <f t="shared" si="49"/>
        <v>53.121033130407149</v>
      </c>
      <c r="AA41" s="82">
        <f>100-Z41</f>
        <v>46.878966869592851</v>
      </c>
    </row>
    <row r="42" spans="1:33" s="83" customFormat="1" ht="97.5" x14ac:dyDescent="0.25">
      <c r="A42" s="79">
        <f t="shared" si="54"/>
        <v>18</v>
      </c>
      <c r="B42" s="88" t="s">
        <v>95</v>
      </c>
      <c r="C42" s="80" t="s">
        <v>94</v>
      </c>
      <c r="D42" s="123">
        <v>2.6</v>
      </c>
      <c r="E42" s="123">
        <v>15.6</v>
      </c>
      <c r="F42" s="124">
        <f t="shared" si="21"/>
        <v>13.364000000000001</v>
      </c>
      <c r="G42" s="123">
        <v>0</v>
      </c>
      <c r="H42" s="123">
        <v>0</v>
      </c>
      <c r="I42" s="123">
        <v>0</v>
      </c>
      <c r="J42" s="123">
        <v>0</v>
      </c>
      <c r="K42" s="123">
        <v>0</v>
      </c>
      <c r="L42" s="123">
        <v>0</v>
      </c>
      <c r="M42" s="123">
        <v>13.121</v>
      </c>
      <c r="N42" s="123">
        <v>0</v>
      </c>
      <c r="O42" s="123">
        <v>0.24299999999999999</v>
      </c>
      <c r="P42" s="123">
        <v>0</v>
      </c>
      <c r="Q42" s="125">
        <v>13.1</v>
      </c>
      <c r="R42" s="126">
        <f t="shared" si="16"/>
        <v>0.26400000000000112</v>
      </c>
      <c r="S42" s="127">
        <f t="shared" si="48"/>
        <v>102.01526717557252</v>
      </c>
      <c r="T42" s="126">
        <f t="shared" si="22"/>
        <v>13</v>
      </c>
      <c r="U42" s="126">
        <f t="shared" si="17"/>
        <v>0.36400000000000077</v>
      </c>
      <c r="V42" s="127">
        <f t="shared" si="18"/>
        <v>102.8</v>
      </c>
      <c r="W42" s="127">
        <f t="shared" si="23"/>
        <v>85.666666666666671</v>
      </c>
      <c r="X42" s="124">
        <v>2.6</v>
      </c>
      <c r="Y42" s="126">
        <f t="shared" si="19"/>
        <v>10.764000000000001</v>
      </c>
      <c r="Z42" s="127">
        <f t="shared" si="49"/>
        <v>514</v>
      </c>
    </row>
    <row r="43" spans="1:33" s="83" customFormat="1" ht="23.25" x14ac:dyDescent="0.25">
      <c r="A43" s="79">
        <f t="shared" si="54"/>
        <v>19</v>
      </c>
      <c r="B43" s="111" t="s">
        <v>60</v>
      </c>
      <c r="C43" s="34" t="s">
        <v>61</v>
      </c>
      <c r="D43" s="123">
        <v>235</v>
      </c>
      <c r="E43" s="123">
        <f t="shared" si="20"/>
        <v>235</v>
      </c>
      <c r="F43" s="124">
        <f t="shared" si="21"/>
        <v>0</v>
      </c>
      <c r="G43" s="123">
        <v>0</v>
      </c>
      <c r="H43" s="123">
        <v>0</v>
      </c>
      <c r="I43" s="123">
        <v>0</v>
      </c>
      <c r="J43" s="123">
        <v>0</v>
      </c>
      <c r="K43" s="123">
        <v>0</v>
      </c>
      <c r="L43" s="123">
        <v>0</v>
      </c>
      <c r="M43" s="123">
        <v>0</v>
      </c>
      <c r="N43" s="123">
        <v>0</v>
      </c>
      <c r="O43" s="123">
        <v>0</v>
      </c>
      <c r="P43" s="123">
        <v>0</v>
      </c>
      <c r="Q43" s="125">
        <v>0</v>
      </c>
      <c r="R43" s="126">
        <f t="shared" si="16"/>
        <v>0</v>
      </c>
      <c r="S43" s="127"/>
      <c r="T43" s="126">
        <f t="shared" si="22"/>
        <v>195.83333333333331</v>
      </c>
      <c r="U43" s="126">
        <f t="shared" si="17"/>
        <v>-195.83333333333331</v>
      </c>
      <c r="V43" s="127">
        <f t="shared" ref="V43:V48" si="55">F43/T43*100</f>
        <v>0</v>
      </c>
      <c r="W43" s="127">
        <f t="shared" si="23"/>
        <v>0</v>
      </c>
      <c r="X43" s="124">
        <v>230.22200000000001</v>
      </c>
      <c r="Y43" s="126">
        <f t="shared" si="19"/>
        <v>-230.22200000000001</v>
      </c>
      <c r="Z43" s="127"/>
    </row>
    <row r="44" spans="1:33" s="83" customFormat="1" ht="23.25" x14ac:dyDescent="0.25">
      <c r="A44" s="79">
        <f t="shared" si="54"/>
        <v>20</v>
      </c>
      <c r="B44" s="88" t="s">
        <v>8</v>
      </c>
      <c r="C44" s="80" t="s">
        <v>20</v>
      </c>
      <c r="D44" s="123">
        <v>1700</v>
      </c>
      <c r="E44" s="123">
        <f t="shared" si="20"/>
        <v>1700</v>
      </c>
      <c r="F44" s="124">
        <f t="shared" si="21"/>
        <v>1394.1789999999999</v>
      </c>
      <c r="G44" s="123">
        <v>229.78800000000001</v>
      </c>
      <c r="H44" s="123">
        <v>139.07499999999999</v>
      </c>
      <c r="I44" s="123">
        <v>28.978999999999999</v>
      </c>
      <c r="J44" s="123">
        <v>35.814</v>
      </c>
      <c r="K44" s="123">
        <v>78.287000000000006</v>
      </c>
      <c r="L44" s="123">
        <v>74.501999999999995</v>
      </c>
      <c r="M44" s="123">
        <v>27.863</v>
      </c>
      <c r="N44" s="123">
        <v>585.375</v>
      </c>
      <c r="O44" s="123">
        <v>88.242000000000004</v>
      </c>
      <c r="P44" s="123">
        <v>106.254</v>
      </c>
      <c r="Q44" s="125">
        <v>1392</v>
      </c>
      <c r="R44" s="126">
        <f t="shared" ref="R44:R67" si="56">F44-Q44</f>
        <v>2.1789999999998599</v>
      </c>
      <c r="S44" s="127">
        <f>F44/Q44*100</f>
        <v>100.15653735632183</v>
      </c>
      <c r="T44" s="126">
        <f t="shared" si="22"/>
        <v>1416.6666666666665</v>
      </c>
      <c r="U44" s="126">
        <f t="shared" ref="U44:U67" si="57">F44-T44</f>
        <v>-22.487666666666655</v>
      </c>
      <c r="V44" s="127">
        <f t="shared" si="55"/>
        <v>98.412635294117649</v>
      </c>
      <c r="W44" s="127">
        <f t="shared" si="23"/>
        <v>82.010529411764693</v>
      </c>
      <c r="X44" s="124">
        <v>1430.6820000000002</v>
      </c>
      <c r="Y44" s="126">
        <f t="shared" ref="Y44:Y67" si="58">F44-X44</f>
        <v>-36.503000000000384</v>
      </c>
      <c r="Z44" s="127">
        <f>F44/X44*100</f>
        <v>97.448559498197341</v>
      </c>
      <c r="AD44" s="83">
        <v>246438.04</v>
      </c>
    </row>
    <row r="45" spans="1:33" s="83" customFormat="1" ht="156" x14ac:dyDescent="0.25">
      <c r="A45" s="79">
        <f t="shared" si="54"/>
        <v>21</v>
      </c>
      <c r="B45" s="88" t="s">
        <v>52</v>
      </c>
      <c r="C45" s="80" t="s">
        <v>46</v>
      </c>
      <c r="D45" s="123">
        <v>1000</v>
      </c>
      <c r="E45" s="123">
        <v>1300</v>
      </c>
      <c r="F45" s="124">
        <f t="shared" si="21"/>
        <v>2171.9450000000002</v>
      </c>
      <c r="G45" s="123">
        <v>162.79300000000001</v>
      </c>
      <c r="H45" s="123">
        <v>1.9590000000000001</v>
      </c>
      <c r="I45" s="123">
        <v>97.171000000000006</v>
      </c>
      <c r="J45" s="123">
        <v>0</v>
      </c>
      <c r="K45" s="123">
        <v>16.827000000000002</v>
      </c>
      <c r="L45" s="123">
        <v>222.87100000000001</v>
      </c>
      <c r="M45" s="123">
        <v>345.33600000000001</v>
      </c>
      <c r="N45" s="123">
        <v>423.09500000000003</v>
      </c>
      <c r="O45" s="123">
        <v>123.182</v>
      </c>
      <c r="P45" s="123">
        <v>778.71100000000001</v>
      </c>
      <c r="Q45" s="125">
        <v>1300</v>
      </c>
      <c r="R45" s="126">
        <f t="shared" si="56"/>
        <v>871.94500000000016</v>
      </c>
      <c r="S45" s="127">
        <f>F45/Q45*100</f>
        <v>167.07269230769234</v>
      </c>
      <c r="T45" s="126">
        <f t="shared" si="22"/>
        <v>1083.3333333333333</v>
      </c>
      <c r="U45" s="126">
        <f t="shared" si="57"/>
        <v>1088.6116666666669</v>
      </c>
      <c r="V45" s="127">
        <f t="shared" si="55"/>
        <v>200.48723076923079</v>
      </c>
      <c r="W45" s="127">
        <f t="shared" si="23"/>
        <v>167.07269230769234</v>
      </c>
      <c r="X45" s="124">
        <v>958.93799999999987</v>
      </c>
      <c r="Y45" s="126">
        <f t="shared" si="58"/>
        <v>1213.0070000000003</v>
      </c>
      <c r="Z45" s="127">
        <f>F45/X45*100</f>
        <v>226.49483073983933</v>
      </c>
    </row>
    <row r="46" spans="1:33" s="83" customFormat="1" ht="78" x14ac:dyDescent="0.25">
      <c r="A46" s="79">
        <f t="shared" si="54"/>
        <v>22</v>
      </c>
      <c r="B46" s="88" t="s">
        <v>123</v>
      </c>
      <c r="C46" s="80" t="s">
        <v>122</v>
      </c>
      <c r="D46" s="123">
        <v>1</v>
      </c>
      <c r="E46" s="123">
        <f t="shared" si="20"/>
        <v>1</v>
      </c>
      <c r="F46" s="124">
        <f t="shared" si="21"/>
        <v>0</v>
      </c>
      <c r="G46" s="123">
        <v>0</v>
      </c>
      <c r="H46" s="123">
        <v>0</v>
      </c>
      <c r="I46" s="123">
        <v>0</v>
      </c>
      <c r="J46" s="123">
        <v>0</v>
      </c>
      <c r="K46" s="123">
        <v>0</v>
      </c>
      <c r="L46" s="123">
        <v>0</v>
      </c>
      <c r="M46" s="123">
        <v>0</v>
      </c>
      <c r="N46" s="123">
        <v>0</v>
      </c>
      <c r="O46" s="123">
        <v>0</v>
      </c>
      <c r="P46" s="123">
        <v>0</v>
      </c>
      <c r="Q46" s="125">
        <v>0</v>
      </c>
      <c r="R46" s="126">
        <f t="shared" si="56"/>
        <v>0</v>
      </c>
      <c r="S46" s="127"/>
      <c r="T46" s="126">
        <f t="shared" si="22"/>
        <v>0.83333333333333326</v>
      </c>
      <c r="U46" s="126">
        <f t="shared" si="57"/>
        <v>-0.83333333333333326</v>
      </c>
      <c r="V46" s="127">
        <f t="shared" si="55"/>
        <v>0</v>
      </c>
      <c r="W46" s="127">
        <f t="shared" si="23"/>
        <v>0</v>
      </c>
      <c r="X46" s="124">
        <v>0</v>
      </c>
      <c r="Y46" s="126">
        <f t="shared" si="58"/>
        <v>0</v>
      </c>
      <c r="Z46" s="127"/>
      <c r="AB46" s="81">
        <f>F48-F44</f>
        <v>3741721.5860000001</v>
      </c>
      <c r="AC46" s="81">
        <f>X48-X44</f>
        <v>3011187.2050000015</v>
      </c>
      <c r="AD46" s="82">
        <f>AB46/AC46</f>
        <v>1.2426067631354718</v>
      </c>
    </row>
    <row r="47" spans="1:33" s="83" customFormat="1" ht="39" x14ac:dyDescent="0.25">
      <c r="A47" s="79">
        <f t="shared" si="54"/>
        <v>23</v>
      </c>
      <c r="B47" s="88" t="s">
        <v>83</v>
      </c>
      <c r="C47" s="80" t="s">
        <v>82</v>
      </c>
      <c r="D47" s="123">
        <v>1</v>
      </c>
      <c r="E47" s="123">
        <f t="shared" si="20"/>
        <v>1</v>
      </c>
      <c r="F47" s="124">
        <f t="shared" si="21"/>
        <v>0</v>
      </c>
      <c r="G47" s="123">
        <v>0</v>
      </c>
      <c r="H47" s="123">
        <v>0</v>
      </c>
      <c r="I47" s="123">
        <v>0</v>
      </c>
      <c r="J47" s="123">
        <v>0</v>
      </c>
      <c r="K47" s="123">
        <v>0</v>
      </c>
      <c r="L47" s="123">
        <v>0</v>
      </c>
      <c r="M47" s="123">
        <v>0</v>
      </c>
      <c r="N47" s="123">
        <v>0</v>
      </c>
      <c r="O47" s="123">
        <v>0</v>
      </c>
      <c r="P47" s="123">
        <v>0</v>
      </c>
      <c r="Q47" s="125">
        <v>0</v>
      </c>
      <c r="R47" s="126">
        <f t="shared" si="56"/>
        <v>0</v>
      </c>
      <c r="S47" s="127"/>
      <c r="T47" s="126">
        <f t="shared" si="22"/>
        <v>0.83333333333333326</v>
      </c>
      <c r="U47" s="126">
        <f t="shared" si="57"/>
        <v>-0.83333333333333326</v>
      </c>
      <c r="V47" s="127">
        <f t="shared" si="55"/>
        <v>0</v>
      </c>
      <c r="W47" s="127">
        <f>F47/E47*100</f>
        <v>0</v>
      </c>
      <c r="X47" s="124">
        <v>0</v>
      </c>
      <c r="Y47" s="126">
        <f t="shared" si="58"/>
        <v>0</v>
      </c>
      <c r="Z47" s="127"/>
    </row>
    <row r="48" spans="1:33" s="94" customFormat="1" ht="39" customHeight="1" x14ac:dyDescent="0.3">
      <c r="A48" s="89"/>
      <c r="B48" s="90" t="s">
        <v>157</v>
      </c>
      <c r="C48" s="91"/>
      <c r="D48" s="91">
        <f>D7+D8+D9+D14+D21+D27+D28+D29+D30+D31+D32+D33+D35+D40+D41+D42+D43+D44+D45+D47+D46+D34</f>
        <v>4389459.9849999994</v>
      </c>
      <c r="E48" s="91">
        <f>E7+E8+E9+E14+E21+E27+E28+E29+E30+E31+E32+E33+E35+E40+E41+E42+E43+E44+E45+E47+E46+E34</f>
        <v>4389459.9849999994</v>
      </c>
      <c r="F48" s="91">
        <f>SUM(G48:P48)</f>
        <v>3743115.7650000001</v>
      </c>
      <c r="G48" s="91">
        <f>G7+G8+G9+G14+G21+G27+G28+G29+G30+G31+G32+G33+G35+G40+G41+G42+G43+G44+G45+G47+G46+G34</f>
        <v>303539.72700000007</v>
      </c>
      <c r="H48" s="91">
        <f t="shared" ref="H48:L48" si="59">H7+H8+H9+H14+H21+H27+H28+H29+H30+H31+H32+H33+H35+H40+H41+H42+H43+H44+H45+H47+H46+H34+H20</f>
        <v>382603.97100000008</v>
      </c>
      <c r="I48" s="91">
        <f t="shared" si="59"/>
        <v>298934.25100000005</v>
      </c>
      <c r="J48" s="91">
        <f t="shared" si="59"/>
        <v>326149.27299999999</v>
      </c>
      <c r="K48" s="91">
        <f t="shared" si="59"/>
        <v>384494.11599999998</v>
      </c>
      <c r="L48" s="91">
        <f t="shared" si="59"/>
        <v>383600.88299999997</v>
      </c>
      <c r="M48" s="91">
        <f t="shared" ref="M48:O48" si="60">M7+M8+M9+M14+M21+M27+M28+M29+M30+M31+M32+M33+M35+M40+M41+M42+M43+M44+M45+M47+M46+M34+M20</f>
        <v>415635.37699999998</v>
      </c>
      <c r="N48" s="91">
        <f t="shared" si="60"/>
        <v>394105.51699999993</v>
      </c>
      <c r="O48" s="91">
        <f t="shared" si="60"/>
        <v>397786.76000000013</v>
      </c>
      <c r="P48" s="91">
        <f>P7+P8+P9+P14+P21+P27+P28+P29+P30+P31+P32+P33+P35+P40+P41+P42+P43+P44+P45+P47+P46+P34+P20</f>
        <v>456265.89000000007</v>
      </c>
      <c r="Q48" s="91">
        <f>Q7+Q8+Q9+Q14+Q21+Q27+Q28+Q29+Q30+Q31+Q32+Q33+Q35+Q40+Q41+Q42+Q43+Q44+Q45+Q47+Q46+Q34</f>
        <v>3616849.2910000007</v>
      </c>
      <c r="R48" s="92">
        <f t="shared" si="56"/>
        <v>126266.47399999946</v>
      </c>
      <c r="S48" s="93">
        <f>F48/Q48*100</f>
        <v>103.49106263051091</v>
      </c>
      <c r="T48" s="91">
        <f>T7+T8+T9+T14+T21+T27+T28+T29+T30+T31+T32+T33+T35+T40+T41+T42+T43+T44+T45+T47+T46+T34</f>
        <v>3657883.3208333333</v>
      </c>
      <c r="U48" s="92">
        <f t="shared" si="57"/>
        <v>85232.444166666828</v>
      </c>
      <c r="V48" s="93">
        <f t="shared" si="55"/>
        <v>102.33010286799551</v>
      </c>
      <c r="W48" s="93">
        <f t="shared" si="23"/>
        <v>85.275085723329596</v>
      </c>
      <c r="X48" s="91">
        <f>X7+X8+X9+X14+X21+X27+X28+X29+X30+X31+X32+X33+X35+X40+X41+X42+X43+X44+X45+X47+X46+X34</f>
        <v>3012617.8870000015</v>
      </c>
      <c r="Y48" s="92">
        <f t="shared" si="58"/>
        <v>730497.87799999863</v>
      </c>
      <c r="Z48" s="93">
        <f>F48/X48*100</f>
        <v>124.24794333035831</v>
      </c>
      <c r="AA48" s="95">
        <v>3012617.8870000006</v>
      </c>
      <c r="AB48" s="95">
        <f>AA48-X48</f>
        <v>0</v>
      </c>
      <c r="AE48" s="95" t="e">
        <f>#REF!-#REF!-#REF!</f>
        <v>#REF!</v>
      </c>
      <c r="AG48" s="94">
        <v>294547.38299999997</v>
      </c>
    </row>
    <row r="49" spans="1:30" s="10" customFormat="1" ht="54" customHeight="1" x14ac:dyDescent="0.25">
      <c r="A49" s="24">
        <v>1</v>
      </c>
      <c r="B49" s="63" t="s">
        <v>202</v>
      </c>
      <c r="C49" s="25" t="s">
        <v>203</v>
      </c>
      <c r="D49" s="133">
        <v>0</v>
      </c>
      <c r="E49" s="133">
        <v>0</v>
      </c>
      <c r="F49" s="124">
        <f>SUM(G49:P49)</f>
        <v>0</v>
      </c>
      <c r="G49" s="123">
        <v>0</v>
      </c>
      <c r="H49" s="123">
        <v>0</v>
      </c>
      <c r="I49" s="123">
        <v>0</v>
      </c>
      <c r="J49" s="123">
        <v>0</v>
      </c>
      <c r="K49" s="123">
        <v>0</v>
      </c>
      <c r="L49" s="123">
        <v>0</v>
      </c>
      <c r="M49" s="123">
        <v>0</v>
      </c>
      <c r="N49" s="123">
        <v>0</v>
      </c>
      <c r="O49" s="123">
        <v>0</v>
      </c>
      <c r="P49" s="123">
        <v>0</v>
      </c>
      <c r="Q49" s="123">
        <v>0</v>
      </c>
      <c r="R49" s="126">
        <f t="shared" si="56"/>
        <v>0</v>
      </c>
      <c r="S49" s="127"/>
      <c r="T49" s="123">
        <v>0</v>
      </c>
      <c r="U49" s="126">
        <f>F49-T49</f>
        <v>0</v>
      </c>
      <c r="V49" s="127"/>
      <c r="W49" s="127"/>
      <c r="X49" s="124">
        <v>1096.2</v>
      </c>
      <c r="Y49" s="126">
        <f t="shared" si="58"/>
        <v>-1096.2</v>
      </c>
      <c r="Z49" s="127"/>
      <c r="AA49" s="44"/>
      <c r="AB49" s="44"/>
      <c r="AC49" s="44"/>
      <c r="AD49" s="46"/>
    </row>
    <row r="50" spans="1:30" s="10" customFormat="1" ht="40.5" customHeight="1" x14ac:dyDescent="0.25">
      <c r="A50" s="24">
        <f>A49+1</f>
        <v>2</v>
      </c>
      <c r="B50" s="63" t="s">
        <v>124</v>
      </c>
      <c r="C50" s="25" t="s">
        <v>54</v>
      </c>
      <c r="D50" s="133">
        <v>855684.1</v>
      </c>
      <c r="E50" s="133">
        <v>770115.7</v>
      </c>
      <c r="F50" s="124">
        <f>SUM(G50:P50)</f>
        <v>650535.9</v>
      </c>
      <c r="G50" s="123">
        <v>65887.7</v>
      </c>
      <c r="H50" s="123">
        <v>65887.7</v>
      </c>
      <c r="I50" s="123">
        <v>65887.7</v>
      </c>
      <c r="J50" s="123">
        <v>65887.7</v>
      </c>
      <c r="K50" s="123">
        <v>83001.399999999994</v>
      </c>
      <c r="L50" s="123">
        <v>135324.4</v>
      </c>
      <c r="M50" s="123">
        <v>27767.9</v>
      </c>
      <c r="N50" s="123">
        <v>27740.3</v>
      </c>
      <c r="O50" s="123">
        <v>56223.6</v>
      </c>
      <c r="P50" s="123">
        <v>56927.5</v>
      </c>
      <c r="Q50" s="123">
        <v>650535.9</v>
      </c>
      <c r="R50" s="126">
        <f t="shared" si="56"/>
        <v>0</v>
      </c>
      <c r="S50" s="127">
        <f>F50/Q50*100</f>
        <v>100</v>
      </c>
      <c r="T50" s="123">
        <f>E50</f>
        <v>770115.7</v>
      </c>
      <c r="U50" s="126">
        <f>F50-T50</f>
        <v>-119579.79999999993</v>
      </c>
      <c r="V50" s="127">
        <f>F50/T50*100</f>
        <v>84.472489003925006</v>
      </c>
      <c r="W50" s="127">
        <f>F50/E50*100</f>
        <v>84.472489003925006</v>
      </c>
      <c r="X50" s="124">
        <v>588381.00000000012</v>
      </c>
      <c r="Y50" s="126">
        <f t="shared" si="58"/>
        <v>62154.899999999907</v>
      </c>
      <c r="Z50" s="127">
        <f>F50/X50*100</f>
        <v>110.56371636745577</v>
      </c>
      <c r="AA50" s="44"/>
      <c r="AB50" s="44"/>
      <c r="AC50" s="44"/>
      <c r="AD50" s="46"/>
    </row>
    <row r="51" spans="1:30" s="10" customFormat="1" ht="58.5" x14ac:dyDescent="0.25">
      <c r="A51" s="24">
        <f t="shared" ref="A51:A61" si="61">A50+1</f>
        <v>3</v>
      </c>
      <c r="B51" s="63" t="s">
        <v>177</v>
      </c>
      <c r="C51" s="25" t="s">
        <v>178</v>
      </c>
      <c r="D51" s="133">
        <v>0</v>
      </c>
      <c r="E51" s="133">
        <f t="shared" ref="E51:E60" si="62">D51</f>
        <v>0</v>
      </c>
      <c r="F51" s="124">
        <f t="shared" si="21"/>
        <v>0</v>
      </c>
      <c r="G51" s="123">
        <v>0</v>
      </c>
      <c r="H51" s="123">
        <v>0</v>
      </c>
      <c r="I51" s="123">
        <v>0</v>
      </c>
      <c r="J51" s="123">
        <v>0</v>
      </c>
      <c r="K51" s="123">
        <v>0</v>
      </c>
      <c r="L51" s="123">
        <v>0</v>
      </c>
      <c r="M51" s="123">
        <v>0</v>
      </c>
      <c r="N51" s="123">
        <v>0</v>
      </c>
      <c r="O51" s="123">
        <v>0</v>
      </c>
      <c r="P51" s="123">
        <v>0</v>
      </c>
      <c r="Q51" s="123">
        <v>0</v>
      </c>
      <c r="R51" s="126">
        <f t="shared" si="56"/>
        <v>0</v>
      </c>
      <c r="S51" s="127"/>
      <c r="T51" s="123">
        <f t="shared" ref="T51:T67" si="63">E51</f>
        <v>0</v>
      </c>
      <c r="U51" s="126">
        <f t="shared" si="57"/>
        <v>0</v>
      </c>
      <c r="V51" s="127"/>
      <c r="W51" s="127"/>
      <c r="X51" s="124">
        <v>10000</v>
      </c>
      <c r="Y51" s="126">
        <f t="shared" si="58"/>
        <v>-10000</v>
      </c>
      <c r="Z51" s="127"/>
      <c r="AA51" s="44"/>
      <c r="AB51" s="44"/>
      <c r="AC51" s="44"/>
      <c r="AD51" s="46"/>
    </row>
    <row r="52" spans="1:30" s="10" customFormat="1" ht="78" x14ac:dyDescent="0.25">
      <c r="A52" s="24">
        <f t="shared" si="61"/>
        <v>4</v>
      </c>
      <c r="B52" s="152" t="s">
        <v>125</v>
      </c>
      <c r="C52" s="154" t="s">
        <v>109</v>
      </c>
      <c r="D52" s="133">
        <v>29000</v>
      </c>
      <c r="E52" s="133">
        <f t="shared" si="62"/>
        <v>29000</v>
      </c>
      <c r="F52" s="124">
        <f t="shared" si="21"/>
        <v>24167.000000000004</v>
      </c>
      <c r="G52" s="123">
        <v>2416.6999999999998</v>
      </c>
      <c r="H52" s="123">
        <v>2416.6999999999998</v>
      </c>
      <c r="I52" s="123">
        <v>2416.6999999999998</v>
      </c>
      <c r="J52" s="123">
        <v>2416.6999999999998</v>
      </c>
      <c r="K52" s="123">
        <v>2416.6999999999998</v>
      </c>
      <c r="L52" s="123">
        <v>2416.6999999999998</v>
      </c>
      <c r="M52" s="123">
        <v>2416.6999999999998</v>
      </c>
      <c r="N52" s="123">
        <v>2416.6999999999998</v>
      </c>
      <c r="O52" s="123">
        <v>2416.6999999999998</v>
      </c>
      <c r="P52" s="123">
        <v>2416.6999999999998</v>
      </c>
      <c r="Q52" s="123">
        <v>24167</v>
      </c>
      <c r="R52" s="126">
        <f t="shared" si="56"/>
        <v>0</v>
      </c>
      <c r="S52" s="127">
        <f>F52/Q52*100</f>
        <v>100.00000000000003</v>
      </c>
      <c r="T52" s="123">
        <f t="shared" si="63"/>
        <v>29000</v>
      </c>
      <c r="U52" s="126">
        <f t="shared" si="57"/>
        <v>-4832.9999999999964</v>
      </c>
      <c r="V52" s="127">
        <f t="shared" ref="V52" si="64">F52/T52*100</f>
        <v>83.334482758620695</v>
      </c>
      <c r="W52" s="127">
        <f t="shared" si="23"/>
        <v>83.334482758620695</v>
      </c>
      <c r="X52" s="124">
        <v>0</v>
      </c>
      <c r="Y52" s="126">
        <f t="shared" si="58"/>
        <v>24167.000000000004</v>
      </c>
      <c r="Z52" s="127"/>
      <c r="AA52" s="44"/>
      <c r="AB52" s="44"/>
      <c r="AC52" s="44"/>
      <c r="AD52" s="46"/>
    </row>
    <row r="53" spans="1:30" s="10" customFormat="1" ht="32.25" customHeight="1" x14ac:dyDescent="0.25">
      <c r="A53" s="24">
        <f t="shared" si="61"/>
        <v>5</v>
      </c>
      <c r="B53" s="152" t="s">
        <v>183</v>
      </c>
      <c r="C53" s="154">
        <v>41040400</v>
      </c>
      <c r="D53" s="133">
        <v>0</v>
      </c>
      <c r="E53" s="133">
        <v>4810.2920000000004</v>
      </c>
      <c r="F53" s="124">
        <f t="shared" si="21"/>
        <v>4810.2919999999995</v>
      </c>
      <c r="G53" s="123">
        <v>0</v>
      </c>
      <c r="H53" s="123">
        <v>0</v>
      </c>
      <c r="I53" s="123">
        <v>0</v>
      </c>
      <c r="J53" s="123">
        <v>0</v>
      </c>
      <c r="K53" s="123">
        <v>0</v>
      </c>
      <c r="L53" s="123">
        <v>0</v>
      </c>
      <c r="M53" s="123">
        <v>3036.24</v>
      </c>
      <c r="N53" s="123">
        <v>1058.383</v>
      </c>
      <c r="O53" s="123">
        <v>0</v>
      </c>
      <c r="P53" s="123">
        <v>715.66899999999998</v>
      </c>
      <c r="Q53" s="123">
        <v>4810.2920000000004</v>
      </c>
      <c r="R53" s="126">
        <f t="shared" si="56"/>
        <v>0</v>
      </c>
      <c r="S53" s="127">
        <f>F53/Q53*100</f>
        <v>99.999999999999972</v>
      </c>
      <c r="T53" s="123">
        <f t="shared" si="63"/>
        <v>4810.2920000000004</v>
      </c>
      <c r="U53" s="126">
        <f t="shared" si="57"/>
        <v>0</v>
      </c>
      <c r="V53" s="127">
        <f t="shared" ref="V53" si="65">F53/T53*100</f>
        <v>99.999999999999972</v>
      </c>
      <c r="W53" s="127">
        <f>F53/E53*100</f>
        <v>99.999999999999972</v>
      </c>
      <c r="X53" s="124">
        <v>0</v>
      </c>
      <c r="Y53" s="126">
        <f t="shared" si="58"/>
        <v>4810.2919999999995</v>
      </c>
      <c r="Z53" s="127"/>
      <c r="AA53" s="44"/>
      <c r="AB53" s="44"/>
      <c r="AC53" s="44"/>
      <c r="AD53" s="46"/>
    </row>
    <row r="54" spans="1:30" s="10" customFormat="1" ht="234" x14ac:dyDescent="0.25">
      <c r="A54" s="24">
        <f t="shared" si="61"/>
        <v>6</v>
      </c>
      <c r="B54" s="152" t="s">
        <v>196</v>
      </c>
      <c r="C54" s="154" t="s">
        <v>197</v>
      </c>
      <c r="D54" s="133">
        <v>0</v>
      </c>
      <c r="E54" s="133">
        <v>0</v>
      </c>
      <c r="F54" s="124">
        <f t="shared" si="21"/>
        <v>0</v>
      </c>
      <c r="G54" s="123">
        <v>0</v>
      </c>
      <c r="H54" s="123">
        <v>0</v>
      </c>
      <c r="I54" s="123">
        <v>0</v>
      </c>
      <c r="J54" s="123">
        <v>0</v>
      </c>
      <c r="K54" s="123">
        <v>0</v>
      </c>
      <c r="L54" s="123">
        <v>0</v>
      </c>
      <c r="M54" s="123">
        <v>0</v>
      </c>
      <c r="N54" s="123">
        <v>0</v>
      </c>
      <c r="O54" s="123">
        <v>0</v>
      </c>
      <c r="P54" s="123">
        <v>0</v>
      </c>
      <c r="Q54" s="123">
        <v>0</v>
      </c>
      <c r="R54" s="126">
        <f t="shared" si="56"/>
        <v>0</v>
      </c>
      <c r="S54" s="127"/>
      <c r="T54" s="123">
        <f t="shared" si="63"/>
        <v>0</v>
      </c>
      <c r="U54" s="126">
        <f t="shared" si="57"/>
        <v>0</v>
      </c>
      <c r="V54" s="127"/>
      <c r="W54" s="127"/>
      <c r="X54" s="124">
        <v>3202.9960000000001</v>
      </c>
      <c r="Y54" s="126">
        <f t="shared" si="58"/>
        <v>-3202.9960000000001</v>
      </c>
      <c r="Z54" s="127"/>
      <c r="AA54" s="44"/>
      <c r="AB54" s="44"/>
      <c r="AC54" s="44"/>
      <c r="AD54" s="46"/>
    </row>
    <row r="55" spans="1:30" s="10" customFormat="1" ht="253.5" x14ac:dyDescent="0.25">
      <c r="A55" s="24">
        <f t="shared" si="61"/>
        <v>7</v>
      </c>
      <c r="B55" s="152" t="s">
        <v>198</v>
      </c>
      <c r="C55" s="154" t="s">
        <v>199</v>
      </c>
      <c r="D55" s="133">
        <v>0</v>
      </c>
      <c r="E55" s="133">
        <v>0</v>
      </c>
      <c r="F55" s="124">
        <f t="shared" si="21"/>
        <v>0</v>
      </c>
      <c r="G55" s="123">
        <v>0</v>
      </c>
      <c r="H55" s="123">
        <v>0</v>
      </c>
      <c r="I55" s="123">
        <v>0</v>
      </c>
      <c r="J55" s="123">
        <v>0</v>
      </c>
      <c r="K55" s="123">
        <v>0</v>
      </c>
      <c r="L55" s="123">
        <v>0</v>
      </c>
      <c r="M55" s="123">
        <v>0</v>
      </c>
      <c r="N55" s="123">
        <v>0</v>
      </c>
      <c r="O55" s="123">
        <v>0</v>
      </c>
      <c r="P55" s="123">
        <v>0</v>
      </c>
      <c r="Q55" s="123">
        <v>0</v>
      </c>
      <c r="R55" s="126">
        <f t="shared" si="56"/>
        <v>0</v>
      </c>
      <c r="S55" s="127"/>
      <c r="T55" s="123">
        <f t="shared" si="63"/>
        <v>0</v>
      </c>
      <c r="U55" s="126">
        <f t="shared" si="57"/>
        <v>0</v>
      </c>
      <c r="V55" s="127"/>
      <c r="W55" s="127"/>
      <c r="X55" s="124">
        <v>1387.925</v>
      </c>
      <c r="Y55" s="126">
        <f t="shared" si="58"/>
        <v>-1387.925</v>
      </c>
      <c r="Z55" s="127"/>
      <c r="AA55" s="44"/>
      <c r="AB55" s="44"/>
      <c r="AC55" s="44"/>
      <c r="AD55" s="46"/>
    </row>
    <row r="56" spans="1:30" s="10" customFormat="1" ht="351" x14ac:dyDescent="0.25">
      <c r="A56" s="24">
        <f t="shared" si="61"/>
        <v>8</v>
      </c>
      <c r="B56" s="152" t="s">
        <v>200</v>
      </c>
      <c r="C56" s="154" t="s">
        <v>201</v>
      </c>
      <c r="D56" s="133">
        <v>0</v>
      </c>
      <c r="E56" s="133">
        <v>0</v>
      </c>
      <c r="F56" s="124">
        <f t="shared" si="21"/>
        <v>0</v>
      </c>
      <c r="G56" s="123">
        <v>0</v>
      </c>
      <c r="H56" s="123">
        <v>0</v>
      </c>
      <c r="I56" s="123">
        <v>0</v>
      </c>
      <c r="J56" s="123">
        <v>0</v>
      </c>
      <c r="K56" s="123">
        <v>0</v>
      </c>
      <c r="L56" s="123">
        <v>0</v>
      </c>
      <c r="M56" s="123">
        <v>0</v>
      </c>
      <c r="N56" s="123">
        <v>0</v>
      </c>
      <c r="O56" s="123">
        <v>0</v>
      </c>
      <c r="P56" s="123">
        <v>0</v>
      </c>
      <c r="Q56" s="123">
        <v>0</v>
      </c>
      <c r="R56" s="126">
        <f t="shared" si="56"/>
        <v>0</v>
      </c>
      <c r="S56" s="127"/>
      <c r="T56" s="123">
        <f t="shared" si="63"/>
        <v>0</v>
      </c>
      <c r="U56" s="126">
        <f t="shared" si="57"/>
        <v>0</v>
      </c>
      <c r="V56" s="127"/>
      <c r="W56" s="127"/>
      <c r="X56" s="124">
        <v>2654.32</v>
      </c>
      <c r="Y56" s="126">
        <f t="shared" si="58"/>
        <v>-2654.32</v>
      </c>
      <c r="Z56" s="127"/>
      <c r="AA56" s="44"/>
      <c r="AB56" s="44"/>
      <c r="AC56" s="44"/>
      <c r="AD56" s="46"/>
    </row>
    <row r="57" spans="1:30" s="10" customFormat="1" ht="39" x14ac:dyDescent="0.25">
      <c r="A57" s="24">
        <f t="shared" si="61"/>
        <v>9</v>
      </c>
      <c r="B57" s="152" t="s">
        <v>128</v>
      </c>
      <c r="C57" s="154" t="s">
        <v>118</v>
      </c>
      <c r="D57" s="133">
        <v>16764.740000000002</v>
      </c>
      <c r="E57" s="133">
        <v>13810.54</v>
      </c>
      <c r="F57" s="124">
        <f t="shared" si="21"/>
        <v>11828.694</v>
      </c>
      <c r="G57" s="123">
        <v>1290.8869999999999</v>
      </c>
      <c r="H57" s="123">
        <v>1290.886</v>
      </c>
      <c r="I57" s="123">
        <v>1290.886</v>
      </c>
      <c r="J57" s="123">
        <v>1290.886</v>
      </c>
      <c r="K57" s="123">
        <v>1626.181</v>
      </c>
      <c r="L57" s="123">
        <v>2244.3270000000002</v>
      </c>
      <c r="M57" s="123">
        <v>460.36399999999998</v>
      </c>
      <c r="N57" s="123">
        <v>459.42500000000001</v>
      </c>
      <c r="O57" s="123">
        <v>931.66</v>
      </c>
      <c r="P57" s="123">
        <v>943.19200000000001</v>
      </c>
      <c r="Q57" s="125">
        <v>11828.694</v>
      </c>
      <c r="R57" s="126">
        <f t="shared" si="56"/>
        <v>0</v>
      </c>
      <c r="S57" s="127">
        <f>F57/Q57*100</f>
        <v>100</v>
      </c>
      <c r="T57" s="123">
        <f t="shared" si="63"/>
        <v>13810.54</v>
      </c>
      <c r="U57" s="126">
        <f t="shared" si="57"/>
        <v>-1981.8460000000014</v>
      </c>
      <c r="V57" s="127">
        <f>F57/T57*100</f>
        <v>85.649757359234314</v>
      </c>
      <c r="W57" s="127">
        <f t="shared" si="23"/>
        <v>85.649757359234314</v>
      </c>
      <c r="X57" s="124">
        <v>9405.8330000000005</v>
      </c>
      <c r="Y57" s="126">
        <f t="shared" si="58"/>
        <v>2422.860999999999</v>
      </c>
      <c r="Z57" s="127">
        <f>F57/X57*100</f>
        <v>125.75913265736271</v>
      </c>
    </row>
    <row r="58" spans="1:30" s="10" customFormat="1" ht="58.5" x14ac:dyDescent="0.25">
      <c r="A58" s="24">
        <f t="shared" si="61"/>
        <v>10</v>
      </c>
      <c r="B58" s="152" t="s">
        <v>129</v>
      </c>
      <c r="C58" s="154">
        <v>41051200</v>
      </c>
      <c r="D58" s="133">
        <v>3718.5</v>
      </c>
      <c r="E58" s="133">
        <v>3346.6</v>
      </c>
      <c r="F58" s="124">
        <f t="shared" si="21"/>
        <v>2546.1890000000003</v>
      </c>
      <c r="G58" s="123">
        <v>82.944999999999993</v>
      </c>
      <c r="H58" s="123">
        <v>230.36500000000001</v>
      </c>
      <c r="I58" s="123">
        <v>230.36500000000001</v>
      </c>
      <c r="J58" s="123">
        <v>230.36500000000001</v>
      </c>
      <c r="K58" s="123">
        <v>198.56200000000001</v>
      </c>
      <c r="L58" s="123">
        <v>198.56200000000001</v>
      </c>
      <c r="M58" s="123">
        <v>198.56200000000001</v>
      </c>
      <c r="N58" s="123">
        <v>634.09</v>
      </c>
      <c r="O58" s="123">
        <v>274.37900000000002</v>
      </c>
      <c r="P58" s="123">
        <v>267.99400000000003</v>
      </c>
      <c r="Q58" s="125">
        <v>2546.1889999999999</v>
      </c>
      <c r="R58" s="126">
        <f t="shared" si="56"/>
        <v>0</v>
      </c>
      <c r="S58" s="127">
        <f>F58/Q58*100</f>
        <v>100.00000000000003</v>
      </c>
      <c r="T58" s="123">
        <f t="shared" si="63"/>
        <v>3346.6</v>
      </c>
      <c r="U58" s="126">
        <f t="shared" si="57"/>
        <v>-800.4109999999996</v>
      </c>
      <c r="V58" s="127">
        <f>F58/T58*100</f>
        <v>76.082860216338972</v>
      </c>
      <c r="W58" s="127">
        <f t="shared" si="23"/>
        <v>76.082860216338972</v>
      </c>
      <c r="X58" s="124">
        <v>2673.3679999999995</v>
      </c>
      <c r="Y58" s="126">
        <f t="shared" si="58"/>
        <v>-127.17899999999918</v>
      </c>
      <c r="Z58" s="127">
        <f>F58/X58*100</f>
        <v>95.242742488127362</v>
      </c>
    </row>
    <row r="59" spans="1:30" s="10" customFormat="1" ht="58.5" x14ac:dyDescent="0.25">
      <c r="A59" s="24">
        <f t="shared" si="61"/>
        <v>11</v>
      </c>
      <c r="B59" s="152" t="s">
        <v>191</v>
      </c>
      <c r="C59" s="154" t="s">
        <v>192</v>
      </c>
      <c r="D59" s="133">
        <v>0</v>
      </c>
      <c r="E59" s="133">
        <v>0</v>
      </c>
      <c r="F59" s="124">
        <f>SUM(G59:P59)</f>
        <v>0</v>
      </c>
      <c r="G59" s="123">
        <v>0</v>
      </c>
      <c r="H59" s="123">
        <v>0</v>
      </c>
      <c r="I59" s="123">
        <v>0</v>
      </c>
      <c r="J59" s="123">
        <v>0</v>
      </c>
      <c r="K59" s="123">
        <v>0</v>
      </c>
      <c r="L59" s="123">
        <v>0</v>
      </c>
      <c r="M59" s="123">
        <v>0</v>
      </c>
      <c r="N59" s="123">
        <v>0</v>
      </c>
      <c r="O59" s="123">
        <v>0</v>
      </c>
      <c r="P59" s="123">
        <v>0</v>
      </c>
      <c r="Q59" s="125">
        <v>0</v>
      </c>
      <c r="R59" s="126">
        <f t="shared" si="56"/>
        <v>0</v>
      </c>
      <c r="S59" s="127"/>
      <c r="T59" s="123">
        <f t="shared" si="63"/>
        <v>0</v>
      </c>
      <c r="U59" s="126">
        <f t="shared" si="57"/>
        <v>0</v>
      </c>
      <c r="V59" s="127"/>
      <c r="W59" s="127"/>
      <c r="X59" s="124">
        <v>10198.897000000001</v>
      </c>
      <c r="Y59" s="126">
        <f t="shared" si="58"/>
        <v>-10198.897000000001</v>
      </c>
      <c r="Z59" s="127"/>
    </row>
    <row r="60" spans="1:30" s="10" customFormat="1" ht="58.5" x14ac:dyDescent="0.25">
      <c r="A60" s="24">
        <f t="shared" si="61"/>
        <v>12</v>
      </c>
      <c r="B60" s="155" t="s">
        <v>144</v>
      </c>
      <c r="C60" s="154" t="s">
        <v>127</v>
      </c>
      <c r="D60" s="133">
        <v>0</v>
      </c>
      <c r="E60" s="133">
        <f t="shared" si="62"/>
        <v>0</v>
      </c>
      <c r="F60" s="124">
        <f t="shared" si="21"/>
        <v>0</v>
      </c>
      <c r="G60" s="123">
        <v>0</v>
      </c>
      <c r="H60" s="123">
        <v>0</v>
      </c>
      <c r="I60" s="123">
        <v>0</v>
      </c>
      <c r="J60" s="123">
        <v>0</v>
      </c>
      <c r="K60" s="123">
        <v>0</v>
      </c>
      <c r="L60" s="123">
        <v>0</v>
      </c>
      <c r="M60" s="123">
        <v>0</v>
      </c>
      <c r="N60" s="123">
        <v>0</v>
      </c>
      <c r="O60" s="123">
        <v>0</v>
      </c>
      <c r="P60" s="123">
        <v>0</v>
      </c>
      <c r="Q60" s="125">
        <v>0</v>
      </c>
      <c r="R60" s="126">
        <f t="shared" si="56"/>
        <v>0</v>
      </c>
      <c r="S60" s="127"/>
      <c r="T60" s="123">
        <f t="shared" si="63"/>
        <v>0</v>
      </c>
      <c r="U60" s="126">
        <f t="shared" si="57"/>
        <v>0</v>
      </c>
      <c r="V60" s="127"/>
      <c r="W60" s="127"/>
      <c r="X60" s="124">
        <v>17595.894999999997</v>
      </c>
      <c r="Y60" s="126">
        <f t="shared" si="58"/>
        <v>-17595.894999999997</v>
      </c>
      <c r="Z60" s="127"/>
      <c r="AA60" s="124"/>
      <c r="AB60" s="124"/>
    </row>
    <row r="61" spans="1:30" s="10" customFormat="1" ht="23.25" x14ac:dyDescent="0.25">
      <c r="A61" s="24">
        <f t="shared" si="61"/>
        <v>13</v>
      </c>
      <c r="B61" s="155" t="s">
        <v>126</v>
      </c>
      <c r="C61" s="154" t="s">
        <v>110</v>
      </c>
      <c r="D61" s="133">
        <f>SUM(D62:D65)</f>
        <v>4144</v>
      </c>
      <c r="E61" s="133">
        <f>SUM(E62:E65)</f>
        <v>4144</v>
      </c>
      <c r="F61" s="124">
        <f t="shared" si="21"/>
        <v>2805.4180000000001</v>
      </c>
      <c r="G61" s="123">
        <f t="shared" ref="G61:P61" si="66">SUM(G62:G65)</f>
        <v>0</v>
      </c>
      <c r="H61" s="123">
        <f t="shared" si="66"/>
        <v>69.319000000000003</v>
      </c>
      <c r="I61" s="123">
        <f t="shared" si="66"/>
        <v>2.609</v>
      </c>
      <c r="J61" s="123">
        <f t="shared" si="66"/>
        <v>835.69900000000007</v>
      </c>
      <c r="K61" s="123">
        <f t="shared" ref="K61:O61" si="67">SUM(K62:K65)</f>
        <v>575.18200000000002</v>
      </c>
      <c r="L61" s="123">
        <f t="shared" si="67"/>
        <v>141.405</v>
      </c>
      <c r="M61" s="123">
        <f t="shared" si="67"/>
        <v>47.177999999999997</v>
      </c>
      <c r="N61" s="123">
        <f t="shared" si="67"/>
        <v>100.53100000000001</v>
      </c>
      <c r="O61" s="123">
        <f t="shared" si="67"/>
        <v>874.37599999999998</v>
      </c>
      <c r="P61" s="123">
        <f t="shared" si="66"/>
        <v>159.119</v>
      </c>
      <c r="Q61" s="123">
        <f>SUM(Q62:Q67)</f>
        <v>3256.5969999999998</v>
      </c>
      <c r="R61" s="126">
        <f t="shared" si="56"/>
        <v>-451.17899999999963</v>
      </c>
      <c r="S61" s="127">
        <f t="shared" ref="S61:S65" si="68">F61/Q61*100</f>
        <v>86.14569134590495</v>
      </c>
      <c r="T61" s="123">
        <f t="shared" si="63"/>
        <v>4144</v>
      </c>
      <c r="U61" s="126">
        <f t="shared" si="57"/>
        <v>-1338.5819999999999</v>
      </c>
      <c r="V61" s="127">
        <f t="shared" ref="V61:V65" si="69">F61/T61*100</f>
        <v>67.69831081081081</v>
      </c>
      <c r="W61" s="127">
        <f t="shared" si="23"/>
        <v>67.69831081081081</v>
      </c>
      <c r="X61" s="124">
        <f>SUM(X62:X67)</f>
        <v>3695.0019999999995</v>
      </c>
      <c r="Y61" s="126">
        <f t="shared" si="58"/>
        <v>-889.58399999999938</v>
      </c>
      <c r="Z61" s="127">
        <f>F61/X61*100</f>
        <v>75.924667970409772</v>
      </c>
      <c r="AA61" s="124">
        <v>5098.8379999999997</v>
      </c>
      <c r="AB61" s="124">
        <f>AA61-X61</f>
        <v>1403.8360000000002</v>
      </c>
    </row>
    <row r="62" spans="1:30" s="43" customFormat="1" ht="40.5" x14ac:dyDescent="0.25">
      <c r="A62" s="42" t="s">
        <v>139</v>
      </c>
      <c r="B62" s="153" t="s">
        <v>145</v>
      </c>
      <c r="C62" s="110"/>
      <c r="D62" s="134">
        <v>105</v>
      </c>
      <c r="E62" s="134">
        <f t="shared" ref="E62:E67" si="70">D62</f>
        <v>105</v>
      </c>
      <c r="F62" s="129">
        <f t="shared" si="21"/>
        <v>50.459000000000003</v>
      </c>
      <c r="G62" s="128">
        <v>0</v>
      </c>
      <c r="H62" s="128">
        <v>10.734999999999999</v>
      </c>
      <c r="I62" s="128">
        <v>2.609</v>
      </c>
      <c r="J62" s="128">
        <f>11.002</f>
        <v>11.002000000000001</v>
      </c>
      <c r="K62" s="128">
        <v>7.4420000000000002</v>
      </c>
      <c r="L62" s="128">
        <f>2.763</f>
        <v>2.7629999999999999</v>
      </c>
      <c r="M62" s="128">
        <v>0</v>
      </c>
      <c r="N62" s="128">
        <v>3.2349999999999999</v>
      </c>
      <c r="O62" s="128">
        <v>7.0149999999999997</v>
      </c>
      <c r="P62" s="128">
        <v>5.6580000000000004</v>
      </c>
      <c r="Q62" s="130">
        <v>87.52</v>
      </c>
      <c r="R62" s="131">
        <f t="shared" si="56"/>
        <v>-37.060999999999993</v>
      </c>
      <c r="S62" s="132">
        <f t="shared" si="68"/>
        <v>57.654250457038401</v>
      </c>
      <c r="T62" s="128">
        <f t="shared" si="63"/>
        <v>105</v>
      </c>
      <c r="U62" s="131">
        <f t="shared" si="57"/>
        <v>-54.540999999999997</v>
      </c>
      <c r="V62" s="132">
        <f t="shared" si="69"/>
        <v>48.05619047619048</v>
      </c>
      <c r="W62" s="132">
        <f t="shared" si="23"/>
        <v>48.05619047619048</v>
      </c>
      <c r="X62" s="129">
        <v>83.574999999999989</v>
      </c>
      <c r="Y62" s="131">
        <f t="shared" si="58"/>
        <v>-33.115999999999985</v>
      </c>
      <c r="Z62" s="132">
        <f t="shared" ref="Z62:Z65" si="71">F62/X62*100</f>
        <v>60.375710439724806</v>
      </c>
    </row>
    <row r="63" spans="1:30" s="43" customFormat="1" ht="39.75" x14ac:dyDescent="0.25">
      <c r="A63" s="42" t="s">
        <v>140</v>
      </c>
      <c r="B63" s="153" t="s">
        <v>146</v>
      </c>
      <c r="C63" s="110"/>
      <c r="D63" s="134">
        <v>1246.7</v>
      </c>
      <c r="E63" s="134">
        <f t="shared" si="70"/>
        <v>1246.7</v>
      </c>
      <c r="F63" s="129">
        <f t="shared" si="21"/>
        <v>884.21600000000012</v>
      </c>
      <c r="G63" s="128">
        <v>0</v>
      </c>
      <c r="H63" s="128">
        <v>58.584000000000003</v>
      </c>
      <c r="I63" s="128">
        <v>0</v>
      </c>
      <c r="J63" s="128">
        <f>65.714+117.526</f>
        <v>183.24</v>
      </c>
      <c r="K63" s="128">
        <v>140.1</v>
      </c>
      <c r="L63" s="128">
        <v>138.642</v>
      </c>
      <c r="M63" s="128">
        <v>47.177999999999997</v>
      </c>
      <c r="N63" s="128">
        <v>97.296000000000006</v>
      </c>
      <c r="O63" s="128">
        <v>65.715000000000003</v>
      </c>
      <c r="P63" s="128">
        <v>153.46100000000001</v>
      </c>
      <c r="Q63" s="130">
        <v>884.21600000000001</v>
      </c>
      <c r="R63" s="131">
        <f t="shared" si="56"/>
        <v>0</v>
      </c>
      <c r="S63" s="132">
        <f t="shared" si="68"/>
        <v>100.00000000000003</v>
      </c>
      <c r="T63" s="128">
        <f t="shared" si="63"/>
        <v>1246.7</v>
      </c>
      <c r="U63" s="131">
        <f t="shared" si="57"/>
        <v>-362.48399999999992</v>
      </c>
      <c r="V63" s="132">
        <f t="shared" si="69"/>
        <v>70.924520734739716</v>
      </c>
      <c r="W63" s="132">
        <f t="shared" si="23"/>
        <v>70.924520734739716</v>
      </c>
      <c r="X63" s="129">
        <v>884.21299999999997</v>
      </c>
      <c r="Y63" s="131">
        <f t="shared" si="58"/>
        <v>3.0000000001564331E-3</v>
      </c>
      <c r="Z63" s="132">
        <f t="shared" si="71"/>
        <v>100.0003392847651</v>
      </c>
    </row>
    <row r="64" spans="1:30" s="43" customFormat="1" ht="79.5" x14ac:dyDescent="0.25">
      <c r="A64" s="42" t="s">
        <v>141</v>
      </c>
      <c r="B64" s="153" t="s">
        <v>147</v>
      </c>
      <c r="C64" s="110"/>
      <c r="D64" s="134">
        <v>292.3</v>
      </c>
      <c r="E64" s="134">
        <f t="shared" si="70"/>
        <v>292.3</v>
      </c>
      <c r="F64" s="129">
        <f t="shared" si="21"/>
        <v>292.29999999999995</v>
      </c>
      <c r="G64" s="128">
        <v>0</v>
      </c>
      <c r="H64" s="128">
        <v>0</v>
      </c>
      <c r="I64" s="128">
        <v>0</v>
      </c>
      <c r="J64" s="128">
        <v>146.136</v>
      </c>
      <c r="K64" s="128">
        <v>0</v>
      </c>
      <c r="L64" s="128">
        <v>0</v>
      </c>
      <c r="M64" s="128">
        <v>0</v>
      </c>
      <c r="N64" s="128">
        <v>0</v>
      </c>
      <c r="O64" s="128">
        <v>146.16399999999999</v>
      </c>
      <c r="P64" s="128">
        <v>0</v>
      </c>
      <c r="Q64" s="130">
        <v>292.3</v>
      </c>
      <c r="R64" s="131">
        <f t="shared" si="56"/>
        <v>0</v>
      </c>
      <c r="S64" s="132">
        <f t="shared" si="68"/>
        <v>99.999999999999972</v>
      </c>
      <c r="T64" s="128">
        <f t="shared" si="63"/>
        <v>292.3</v>
      </c>
      <c r="U64" s="131">
        <f t="shared" si="57"/>
        <v>0</v>
      </c>
      <c r="V64" s="132">
        <f t="shared" si="69"/>
        <v>99.999999999999972</v>
      </c>
      <c r="W64" s="132">
        <f t="shared" si="23"/>
        <v>99.999999999999972</v>
      </c>
      <c r="X64" s="129">
        <v>292.29999999999995</v>
      </c>
      <c r="Y64" s="131">
        <f t="shared" si="58"/>
        <v>0</v>
      </c>
      <c r="Z64" s="132">
        <f t="shared" si="71"/>
        <v>100</v>
      </c>
    </row>
    <row r="65" spans="1:31" s="43" customFormat="1" ht="60" x14ac:dyDescent="0.25">
      <c r="A65" s="42" t="s">
        <v>142</v>
      </c>
      <c r="B65" s="153" t="s">
        <v>148</v>
      </c>
      <c r="C65" s="110"/>
      <c r="D65" s="134">
        <v>2500</v>
      </c>
      <c r="E65" s="134">
        <f t="shared" si="70"/>
        <v>2500</v>
      </c>
      <c r="F65" s="129">
        <f t="shared" si="21"/>
        <v>1578.443</v>
      </c>
      <c r="G65" s="128">
        <v>0</v>
      </c>
      <c r="H65" s="128">
        <v>0</v>
      </c>
      <c r="I65" s="128">
        <v>0</v>
      </c>
      <c r="J65" s="128">
        <v>495.32100000000003</v>
      </c>
      <c r="K65" s="128">
        <f>415.779+11.861</f>
        <v>427.64</v>
      </c>
      <c r="L65" s="128">
        <v>0</v>
      </c>
      <c r="M65" s="128">
        <v>0</v>
      </c>
      <c r="N65" s="128">
        <v>0</v>
      </c>
      <c r="O65" s="128">
        <v>655.48199999999997</v>
      </c>
      <c r="P65" s="128">
        <v>0</v>
      </c>
      <c r="Q65" s="130">
        <v>1992.5609999999999</v>
      </c>
      <c r="R65" s="131">
        <f t="shared" si="56"/>
        <v>-414.11799999999994</v>
      </c>
      <c r="S65" s="132">
        <f t="shared" si="68"/>
        <v>79.216796875980208</v>
      </c>
      <c r="T65" s="128">
        <f t="shared" si="63"/>
        <v>2500</v>
      </c>
      <c r="U65" s="131">
        <f t="shared" si="57"/>
        <v>-921.55700000000002</v>
      </c>
      <c r="V65" s="132">
        <f t="shared" si="69"/>
        <v>63.137719999999995</v>
      </c>
      <c r="W65" s="132">
        <f t="shared" si="23"/>
        <v>63.137719999999995</v>
      </c>
      <c r="X65" s="129">
        <v>1189.2809999999999</v>
      </c>
      <c r="Y65" s="131">
        <f t="shared" si="58"/>
        <v>389.16200000000003</v>
      </c>
      <c r="Z65" s="132">
        <f t="shared" si="71"/>
        <v>132.72246004098275</v>
      </c>
    </row>
    <row r="66" spans="1:31" s="43" customFormat="1" ht="60.75" x14ac:dyDescent="0.25">
      <c r="A66" s="42" t="s">
        <v>204</v>
      </c>
      <c r="B66" s="153" t="s">
        <v>218</v>
      </c>
      <c r="C66" s="110"/>
      <c r="D66" s="134">
        <v>0</v>
      </c>
      <c r="E66" s="134">
        <f t="shared" si="70"/>
        <v>0</v>
      </c>
      <c r="F66" s="129">
        <f t="shared" si="21"/>
        <v>0</v>
      </c>
      <c r="G66" s="128">
        <v>0</v>
      </c>
      <c r="H66" s="128">
        <v>0</v>
      </c>
      <c r="I66" s="128">
        <v>0</v>
      </c>
      <c r="J66" s="128">
        <v>0</v>
      </c>
      <c r="K66" s="128">
        <v>0</v>
      </c>
      <c r="L66" s="128">
        <v>0</v>
      </c>
      <c r="M66" s="128">
        <v>0</v>
      </c>
      <c r="N66" s="128">
        <v>0</v>
      </c>
      <c r="O66" s="128">
        <v>0</v>
      </c>
      <c r="P66" s="128">
        <v>0</v>
      </c>
      <c r="Q66" s="130">
        <v>0</v>
      </c>
      <c r="R66" s="131">
        <f t="shared" si="56"/>
        <v>0</v>
      </c>
      <c r="S66" s="132"/>
      <c r="T66" s="128">
        <f t="shared" si="63"/>
        <v>0</v>
      </c>
      <c r="U66" s="131">
        <f t="shared" si="57"/>
        <v>0</v>
      </c>
      <c r="V66" s="132"/>
      <c r="W66" s="132"/>
      <c r="X66" s="129">
        <v>1220.633</v>
      </c>
      <c r="Y66" s="131">
        <f t="shared" si="58"/>
        <v>-1220.633</v>
      </c>
      <c r="Z66" s="132"/>
    </row>
    <row r="67" spans="1:31" s="43" customFormat="1" ht="159" x14ac:dyDescent="0.25">
      <c r="A67" s="42" t="s">
        <v>205</v>
      </c>
      <c r="B67" s="153" t="s">
        <v>179</v>
      </c>
      <c r="C67" s="110"/>
      <c r="D67" s="134">
        <v>0</v>
      </c>
      <c r="E67" s="134">
        <f t="shared" si="70"/>
        <v>0</v>
      </c>
      <c r="F67" s="129">
        <f t="shared" si="21"/>
        <v>0</v>
      </c>
      <c r="G67" s="130">
        <v>0</v>
      </c>
      <c r="H67" s="130">
        <v>0</v>
      </c>
      <c r="I67" s="130">
        <v>0</v>
      </c>
      <c r="J67" s="130">
        <v>0</v>
      </c>
      <c r="K67" s="130">
        <v>0</v>
      </c>
      <c r="L67" s="128">
        <v>0</v>
      </c>
      <c r="M67" s="128">
        <v>0</v>
      </c>
      <c r="N67" s="128">
        <v>0</v>
      </c>
      <c r="O67" s="128">
        <v>0</v>
      </c>
      <c r="P67" s="128">
        <v>0</v>
      </c>
      <c r="Q67" s="130">
        <v>0</v>
      </c>
      <c r="R67" s="131">
        <f t="shared" si="56"/>
        <v>0</v>
      </c>
      <c r="S67" s="132"/>
      <c r="T67" s="128">
        <f t="shared" si="63"/>
        <v>0</v>
      </c>
      <c r="U67" s="131">
        <f t="shared" si="57"/>
        <v>0</v>
      </c>
      <c r="V67" s="132"/>
      <c r="W67" s="132"/>
      <c r="X67" s="129">
        <v>25</v>
      </c>
      <c r="Y67" s="131">
        <f t="shared" si="58"/>
        <v>-25</v>
      </c>
      <c r="Z67" s="132"/>
    </row>
    <row r="68" spans="1:31" s="50" customFormat="1" ht="32.25" customHeight="1" x14ac:dyDescent="0.3">
      <c r="A68" s="47"/>
      <c r="B68" s="51" t="s">
        <v>28</v>
      </c>
      <c r="C68" s="48"/>
      <c r="D68" s="49">
        <f>D71+D70</f>
        <v>909311.34</v>
      </c>
      <c r="E68" s="49">
        <f>E71+E70</f>
        <v>825227.13199999998</v>
      </c>
      <c r="F68" s="49">
        <f t="shared" si="21"/>
        <v>696693.4929999999</v>
      </c>
      <c r="G68" s="49">
        <f t="shared" ref="G68:Q68" si="72">G71+G70</f>
        <v>69678.231999999989</v>
      </c>
      <c r="H68" s="49">
        <f t="shared" si="72"/>
        <v>69894.97</v>
      </c>
      <c r="I68" s="49">
        <f t="shared" si="72"/>
        <v>69828.259999999995</v>
      </c>
      <c r="J68" s="49">
        <f t="shared" si="72"/>
        <v>70661.349999999991</v>
      </c>
      <c r="K68" s="49">
        <f t="shared" ref="K68:O68" si="73">K71+K70</f>
        <v>87818.024999999994</v>
      </c>
      <c r="L68" s="49">
        <f t="shared" si="73"/>
        <v>140325.394</v>
      </c>
      <c r="M68" s="49">
        <f t="shared" si="73"/>
        <v>33926.944000000003</v>
      </c>
      <c r="N68" s="49">
        <f t="shared" si="73"/>
        <v>32409.428999999996</v>
      </c>
      <c r="O68" s="49">
        <f t="shared" si="73"/>
        <v>60720.714999999997</v>
      </c>
      <c r="P68" s="49">
        <f t="shared" si="72"/>
        <v>61430.173999999999</v>
      </c>
      <c r="Q68" s="49">
        <f t="shared" si="72"/>
        <v>697144.67200000002</v>
      </c>
      <c r="R68" s="92">
        <f>F68-Q68</f>
        <v>-451.17900000012014</v>
      </c>
      <c r="S68" s="93">
        <f>F68/Q68*100</f>
        <v>99.93528186929899</v>
      </c>
      <c r="T68" s="49">
        <f>T71+T70</f>
        <v>820416.84</v>
      </c>
      <c r="U68" s="92">
        <f>F68-T68</f>
        <v>-123723.34700000007</v>
      </c>
      <c r="V68" s="93">
        <f>F68/T68*100</f>
        <v>84.919453018541148</v>
      </c>
      <c r="W68" s="93">
        <f t="shared" si="23"/>
        <v>84.42445309711411</v>
      </c>
      <c r="X68" s="49">
        <f>X71+X70</f>
        <v>650291.4360000001</v>
      </c>
      <c r="Y68" s="92">
        <f>F68-X68</f>
        <v>46402.056999999797</v>
      </c>
      <c r="Z68" s="93">
        <f>F68/X68*100</f>
        <v>107.13557866999186</v>
      </c>
    </row>
    <row r="69" spans="1:31" s="13" customFormat="1" ht="23.25" hidden="1" x14ac:dyDescent="0.25">
      <c r="A69" s="12"/>
      <c r="B69" s="176" t="s">
        <v>96</v>
      </c>
      <c r="C69" s="11"/>
      <c r="D69" s="135"/>
      <c r="E69" s="135"/>
      <c r="F69" s="136"/>
      <c r="G69" s="135"/>
      <c r="H69" s="135"/>
      <c r="I69" s="135"/>
      <c r="J69" s="135"/>
      <c r="K69" s="135"/>
      <c r="L69" s="135"/>
      <c r="M69" s="135"/>
      <c r="N69" s="135"/>
      <c r="O69" s="135"/>
      <c r="P69" s="135"/>
      <c r="Q69" s="135"/>
      <c r="R69" s="126"/>
      <c r="S69" s="127"/>
      <c r="T69" s="135"/>
      <c r="U69" s="96"/>
      <c r="V69" s="97"/>
      <c r="W69" s="97"/>
      <c r="X69" s="136"/>
      <c r="Y69" s="96"/>
      <c r="Z69" s="97"/>
    </row>
    <row r="70" spans="1:31" s="13" customFormat="1" ht="48" hidden="1" customHeight="1" x14ac:dyDescent="0.25">
      <c r="A70" s="12"/>
      <c r="B70" s="183" t="s">
        <v>111</v>
      </c>
      <c r="C70" s="26"/>
      <c r="D70" s="58">
        <f>D52+D53</f>
        <v>29000</v>
      </c>
      <c r="E70" s="58">
        <f>E52+E53</f>
        <v>33810.292000000001</v>
      </c>
      <c r="F70" s="49">
        <f t="shared" si="21"/>
        <v>28977.291999999998</v>
      </c>
      <c r="G70" s="58">
        <f t="shared" ref="G70:Q70" si="74">G52+G53</f>
        <v>2416.6999999999998</v>
      </c>
      <c r="H70" s="58">
        <f t="shared" si="74"/>
        <v>2416.6999999999998</v>
      </c>
      <c r="I70" s="58">
        <f t="shared" si="74"/>
        <v>2416.6999999999998</v>
      </c>
      <c r="J70" s="58">
        <f t="shared" si="74"/>
        <v>2416.6999999999998</v>
      </c>
      <c r="K70" s="58">
        <f t="shared" si="74"/>
        <v>2416.6999999999998</v>
      </c>
      <c r="L70" s="58">
        <f t="shared" si="74"/>
        <v>2416.6999999999998</v>
      </c>
      <c r="M70" s="58">
        <f t="shared" si="74"/>
        <v>5452.94</v>
      </c>
      <c r="N70" s="58">
        <f t="shared" si="74"/>
        <v>3475.0829999999996</v>
      </c>
      <c r="O70" s="58">
        <f t="shared" ref="O70" si="75">O52+O53</f>
        <v>2416.6999999999998</v>
      </c>
      <c r="P70" s="58">
        <f t="shared" si="74"/>
        <v>3132.3689999999997</v>
      </c>
      <c r="Q70" s="58">
        <f t="shared" si="74"/>
        <v>28977.292000000001</v>
      </c>
      <c r="R70" s="96">
        <f>F70-Q70</f>
        <v>0</v>
      </c>
      <c r="S70" s="97">
        <f>F70/Q70*100</f>
        <v>99.999999999999986</v>
      </c>
      <c r="T70" s="58">
        <f>T52</f>
        <v>29000</v>
      </c>
      <c r="U70" s="96">
        <f>F70-T70</f>
        <v>-22.708000000002357</v>
      </c>
      <c r="V70" s="97">
        <f>F70/T70*100</f>
        <v>99.921696551724125</v>
      </c>
      <c r="W70" s="97">
        <f t="shared" si="23"/>
        <v>85.705536053932917</v>
      </c>
      <c r="X70" s="49">
        <f>X52</f>
        <v>0</v>
      </c>
      <c r="Y70" s="96">
        <f>F70-X70</f>
        <v>28977.291999999998</v>
      </c>
      <c r="Z70" s="97"/>
    </row>
    <row r="71" spans="1:31" s="13" customFormat="1" ht="39" hidden="1" customHeight="1" x14ac:dyDescent="0.25">
      <c r="A71" s="12"/>
      <c r="B71" s="183" t="s">
        <v>71</v>
      </c>
      <c r="C71" s="26"/>
      <c r="D71" s="58">
        <f>D72+D73</f>
        <v>880311.34</v>
      </c>
      <c r="E71" s="58">
        <f>E72+E73</f>
        <v>791416.84</v>
      </c>
      <c r="F71" s="49">
        <f t="shared" si="21"/>
        <v>667716.201</v>
      </c>
      <c r="G71" s="58">
        <f t="shared" ref="G71:Q71" si="76">G72+G73</f>
        <v>67261.531999999992</v>
      </c>
      <c r="H71" s="58">
        <f t="shared" si="76"/>
        <v>67478.27</v>
      </c>
      <c r="I71" s="58">
        <f t="shared" si="76"/>
        <v>67411.56</v>
      </c>
      <c r="J71" s="58">
        <f t="shared" si="76"/>
        <v>68244.649999999994</v>
      </c>
      <c r="K71" s="58">
        <f t="shared" ref="K71:O71" si="77">K72+K73</f>
        <v>85401.324999999997</v>
      </c>
      <c r="L71" s="58">
        <f t="shared" si="77"/>
        <v>137908.69399999999</v>
      </c>
      <c r="M71" s="58">
        <f t="shared" si="77"/>
        <v>28474.004000000001</v>
      </c>
      <c r="N71" s="58">
        <f t="shared" si="77"/>
        <v>28934.345999999998</v>
      </c>
      <c r="O71" s="58">
        <f t="shared" si="77"/>
        <v>58304.014999999999</v>
      </c>
      <c r="P71" s="58">
        <f t="shared" si="76"/>
        <v>58297.805</v>
      </c>
      <c r="Q71" s="58">
        <f t="shared" si="76"/>
        <v>668167.38</v>
      </c>
      <c r="R71" s="96">
        <f>F71-Q71</f>
        <v>-451.17900000000373</v>
      </c>
      <c r="S71" s="97">
        <f>F71/Q71*100</f>
        <v>99.932475153156986</v>
      </c>
      <c r="T71" s="58">
        <f>T72+T73</f>
        <v>791416.84</v>
      </c>
      <c r="U71" s="96">
        <f>F71-T71</f>
        <v>-123700.63899999997</v>
      </c>
      <c r="V71" s="97">
        <f>F71/T71*100</f>
        <v>84.369723671788449</v>
      </c>
      <c r="W71" s="97">
        <f t="shared" si="23"/>
        <v>84.369723671788449</v>
      </c>
      <c r="X71" s="49">
        <f>X72+X73</f>
        <v>650291.4360000001</v>
      </c>
      <c r="Y71" s="96">
        <f>F71-X71</f>
        <v>17424.764999999898</v>
      </c>
      <c r="Z71" s="97">
        <f>F71/X71*100</f>
        <v>102.67953167385706</v>
      </c>
    </row>
    <row r="72" spans="1:31" s="8" customFormat="1" ht="39" hidden="1" customHeight="1" x14ac:dyDescent="0.25">
      <c r="A72" s="14"/>
      <c r="B72" s="17" t="s">
        <v>100</v>
      </c>
      <c r="C72" s="17"/>
      <c r="D72" s="134">
        <f>D50</f>
        <v>855684.1</v>
      </c>
      <c r="E72" s="134">
        <f>E50</f>
        <v>770115.7</v>
      </c>
      <c r="F72" s="137">
        <f t="shared" si="21"/>
        <v>650535.9</v>
      </c>
      <c r="G72" s="134">
        <f t="shared" ref="G72:Q72" si="78">G50</f>
        <v>65887.7</v>
      </c>
      <c r="H72" s="134">
        <f t="shared" si="78"/>
        <v>65887.7</v>
      </c>
      <c r="I72" s="134">
        <f t="shared" si="78"/>
        <v>65887.7</v>
      </c>
      <c r="J72" s="134">
        <f t="shared" si="78"/>
        <v>65887.7</v>
      </c>
      <c r="K72" s="134">
        <f t="shared" si="78"/>
        <v>83001.399999999994</v>
      </c>
      <c r="L72" s="134">
        <f t="shared" si="78"/>
        <v>135324.4</v>
      </c>
      <c r="M72" s="134">
        <f t="shared" si="78"/>
        <v>27767.9</v>
      </c>
      <c r="N72" s="134">
        <f t="shared" si="78"/>
        <v>27740.3</v>
      </c>
      <c r="O72" s="134">
        <f t="shared" ref="O72" si="79">O50</f>
        <v>56223.6</v>
      </c>
      <c r="P72" s="134">
        <f t="shared" si="78"/>
        <v>56927.5</v>
      </c>
      <c r="Q72" s="134">
        <f t="shared" si="78"/>
        <v>650535.9</v>
      </c>
      <c r="R72" s="131">
        <f>F72-Q72</f>
        <v>0</v>
      </c>
      <c r="S72" s="132">
        <f>F72/Q72*100</f>
        <v>100</v>
      </c>
      <c r="T72" s="134">
        <f>T50</f>
        <v>770115.7</v>
      </c>
      <c r="U72" s="131">
        <f>F72-T72</f>
        <v>-119579.79999999993</v>
      </c>
      <c r="V72" s="132">
        <f>F72/T72*100</f>
        <v>84.472489003925006</v>
      </c>
      <c r="W72" s="132">
        <f t="shared" si="23"/>
        <v>84.472489003925006</v>
      </c>
      <c r="X72" s="137">
        <f>X50+X51+X49</f>
        <v>599477.20000000007</v>
      </c>
      <c r="Y72" s="131">
        <f>F72-X72</f>
        <v>51058.699999999953</v>
      </c>
      <c r="Z72" s="132">
        <f>F72/X72*100</f>
        <v>108.51720465765837</v>
      </c>
    </row>
    <row r="73" spans="1:31" s="8" customFormat="1" ht="39" hidden="1" customHeight="1" x14ac:dyDescent="0.25">
      <c r="A73" s="14"/>
      <c r="B73" s="177" t="s">
        <v>99</v>
      </c>
      <c r="C73" s="17"/>
      <c r="D73" s="134">
        <f>D57+D61+D58+D60</f>
        <v>24627.24</v>
      </c>
      <c r="E73" s="134">
        <f>E57+E61+E58+E60</f>
        <v>21301.14</v>
      </c>
      <c r="F73" s="137">
        <f t="shared" si="21"/>
        <v>17180.300999999999</v>
      </c>
      <c r="G73" s="134">
        <f t="shared" ref="G73:Q73" si="80">G57+G61+G58+G60</f>
        <v>1373.8319999999999</v>
      </c>
      <c r="H73" s="134">
        <f t="shared" si="80"/>
        <v>1590.57</v>
      </c>
      <c r="I73" s="134">
        <f t="shared" si="80"/>
        <v>1523.86</v>
      </c>
      <c r="J73" s="134">
        <f t="shared" si="80"/>
        <v>2356.9499999999998</v>
      </c>
      <c r="K73" s="134">
        <f t="shared" ref="K73:O73" si="81">K57+K61+K58+K60</f>
        <v>2399.9250000000002</v>
      </c>
      <c r="L73" s="134">
        <f t="shared" si="81"/>
        <v>2584.2940000000003</v>
      </c>
      <c r="M73" s="134">
        <f t="shared" si="81"/>
        <v>706.10400000000004</v>
      </c>
      <c r="N73" s="134">
        <f t="shared" si="81"/>
        <v>1194.046</v>
      </c>
      <c r="O73" s="134">
        <f t="shared" si="81"/>
        <v>2080.415</v>
      </c>
      <c r="P73" s="134">
        <f t="shared" si="80"/>
        <v>1370.3049999999998</v>
      </c>
      <c r="Q73" s="134">
        <f t="shared" si="80"/>
        <v>17631.48</v>
      </c>
      <c r="R73" s="131">
        <f>F73-Q73</f>
        <v>-451.17900000000009</v>
      </c>
      <c r="S73" s="132">
        <f>F73/Q73*100</f>
        <v>97.44105996773952</v>
      </c>
      <c r="T73" s="134">
        <f>T57+T61+T58+T60</f>
        <v>21301.14</v>
      </c>
      <c r="U73" s="131">
        <f>F73-T73</f>
        <v>-4120.8389999999999</v>
      </c>
      <c r="V73" s="132">
        <f>F73/T73*100</f>
        <v>80.654373427901035</v>
      </c>
      <c r="W73" s="132">
        <f t="shared" si="23"/>
        <v>80.654373427901035</v>
      </c>
      <c r="X73" s="137">
        <f>X57+X61+X58+X60+X59+X54+X55+X56</f>
        <v>50814.235999999997</v>
      </c>
      <c r="Y73" s="131">
        <f>F73-X73</f>
        <v>-33633.934999999998</v>
      </c>
      <c r="Z73" s="132">
        <f>F73/X73*100</f>
        <v>33.810015366559874</v>
      </c>
    </row>
    <row r="74" spans="1:31" s="8" customFormat="1" ht="14.25" customHeight="1" x14ac:dyDescent="0.25">
      <c r="A74" s="14"/>
      <c r="B74" s="45"/>
      <c r="C74" s="17"/>
      <c r="D74" s="134"/>
      <c r="E74" s="134"/>
      <c r="F74" s="137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1"/>
      <c r="S74" s="132"/>
      <c r="T74" s="134"/>
      <c r="U74" s="131"/>
      <c r="V74" s="132"/>
      <c r="W74" s="132"/>
      <c r="X74" s="137"/>
      <c r="Y74" s="131"/>
      <c r="Z74" s="132"/>
    </row>
    <row r="75" spans="1:31" s="167" customFormat="1" ht="34.5" customHeight="1" x14ac:dyDescent="0.3">
      <c r="A75" s="160"/>
      <c r="B75" s="161" t="s">
        <v>27</v>
      </c>
      <c r="C75" s="162"/>
      <c r="D75" s="163">
        <f>D68+D48</f>
        <v>5298771.3249999993</v>
      </c>
      <c r="E75" s="163">
        <f>E68+E48</f>
        <v>5214687.1169999996</v>
      </c>
      <c r="F75" s="163">
        <f t="shared" si="21"/>
        <v>4439809.2580000004</v>
      </c>
      <c r="G75" s="163">
        <f t="shared" ref="G75:Q75" si="82">G68+G48</f>
        <v>373217.95900000003</v>
      </c>
      <c r="H75" s="163">
        <f t="shared" si="82"/>
        <v>452498.94100000011</v>
      </c>
      <c r="I75" s="163">
        <f t="shared" si="82"/>
        <v>368762.51100000006</v>
      </c>
      <c r="J75" s="163">
        <f t="shared" si="82"/>
        <v>396810.62299999996</v>
      </c>
      <c r="K75" s="163">
        <f t="shared" si="82"/>
        <v>472312.14099999995</v>
      </c>
      <c r="L75" s="163">
        <f t="shared" si="82"/>
        <v>523926.277</v>
      </c>
      <c r="M75" s="163">
        <f t="shared" si="82"/>
        <v>449562.321</v>
      </c>
      <c r="N75" s="163">
        <f t="shared" si="82"/>
        <v>426514.94599999994</v>
      </c>
      <c r="O75" s="163">
        <f t="shared" ref="O75" si="83">O68+O48</f>
        <v>458507.47500000009</v>
      </c>
      <c r="P75" s="163">
        <f t="shared" si="82"/>
        <v>517696.06400000007</v>
      </c>
      <c r="Q75" s="163">
        <f t="shared" si="82"/>
        <v>4313993.9630000005</v>
      </c>
      <c r="R75" s="164">
        <f>F75-Q75</f>
        <v>125815.29499999993</v>
      </c>
      <c r="S75" s="165">
        <f>F75/Q75*100</f>
        <v>102.91644578270356</v>
      </c>
      <c r="T75" s="163">
        <f>T68+T48</f>
        <v>4478300.1608333336</v>
      </c>
      <c r="U75" s="164">
        <f>F75-T75</f>
        <v>-38490.902833333239</v>
      </c>
      <c r="V75" s="165">
        <f>F75/T75*100</f>
        <v>99.140501943796224</v>
      </c>
      <c r="W75" s="165">
        <f t="shared" si="23"/>
        <v>85.140472637871611</v>
      </c>
      <c r="X75" s="163">
        <f>X68+X48</f>
        <v>3662909.3230000017</v>
      </c>
      <c r="Y75" s="164">
        <f>F75-X75</f>
        <v>776899.93499999866</v>
      </c>
      <c r="Z75" s="165">
        <f>F75/X75*100</f>
        <v>121.20991448305089</v>
      </c>
      <c r="AA75" s="163">
        <v>3224976.6439999994</v>
      </c>
      <c r="AB75" s="166">
        <f>AA75-X75</f>
        <v>-437932.67900000233</v>
      </c>
      <c r="AE75" s="166"/>
    </row>
    <row r="76" spans="1:31" s="10" customFormat="1" ht="31.5" customHeight="1" x14ac:dyDescent="0.25">
      <c r="A76" s="191" t="s">
        <v>9</v>
      </c>
      <c r="B76" s="191"/>
      <c r="C76" s="191"/>
      <c r="D76" s="191"/>
      <c r="E76" s="191"/>
      <c r="F76" s="191"/>
      <c r="G76" s="191"/>
      <c r="H76" s="191"/>
      <c r="I76" s="191"/>
      <c r="J76" s="191"/>
      <c r="K76" s="191"/>
      <c r="L76" s="191"/>
      <c r="M76" s="191"/>
      <c r="N76" s="191"/>
      <c r="O76" s="191"/>
      <c r="P76" s="191"/>
      <c r="Q76" s="191"/>
      <c r="R76" s="191"/>
      <c r="S76" s="191"/>
      <c r="T76" s="191"/>
      <c r="U76" s="191"/>
      <c r="V76" s="191"/>
      <c r="W76" s="191"/>
      <c r="X76" s="191"/>
      <c r="Y76" s="191"/>
      <c r="Z76" s="191"/>
    </row>
    <row r="77" spans="1:31" s="64" customFormat="1" ht="40.5" customHeight="1" x14ac:dyDescent="0.3">
      <c r="A77" s="24">
        <v>1</v>
      </c>
      <c r="B77" s="63" t="s">
        <v>12</v>
      </c>
      <c r="C77" s="25" t="s">
        <v>21</v>
      </c>
      <c r="D77" s="133">
        <f>D78+D79</f>
        <v>94437.012000000002</v>
      </c>
      <c r="E77" s="133">
        <f t="shared" ref="E77" si="84">D77</f>
        <v>94437.012000000002</v>
      </c>
      <c r="F77" s="124">
        <f t="shared" ref="F77:F115" si="85">SUM(G77:P77)</f>
        <v>138484.01199999999</v>
      </c>
      <c r="G77" s="123">
        <f t="shared" ref="G77:Q77" si="86">G78+G79</f>
        <v>6860.3910000000005</v>
      </c>
      <c r="H77" s="123">
        <f t="shared" ref="H77:O77" si="87">H78+H79</f>
        <v>7771.8059999999996</v>
      </c>
      <c r="I77" s="123">
        <f t="shared" si="87"/>
        <v>11164.861000000001</v>
      </c>
      <c r="J77" s="123">
        <f t="shared" si="87"/>
        <v>3259.9669999999996</v>
      </c>
      <c r="K77" s="123">
        <f t="shared" si="87"/>
        <v>9844.509</v>
      </c>
      <c r="L77" s="123">
        <f t="shared" si="87"/>
        <v>37523.394</v>
      </c>
      <c r="M77" s="123">
        <f t="shared" si="87"/>
        <v>6518.8890000000001</v>
      </c>
      <c r="N77" s="123">
        <f t="shared" si="87"/>
        <v>7662.14</v>
      </c>
      <c r="O77" s="123">
        <f t="shared" si="87"/>
        <v>41191.108999999997</v>
      </c>
      <c r="P77" s="123">
        <f t="shared" si="86"/>
        <v>6686.9459999999999</v>
      </c>
      <c r="Q77" s="125">
        <f t="shared" si="86"/>
        <v>78697.510000000009</v>
      </c>
      <c r="R77" s="126">
        <f t="shared" ref="R77:R92" si="88">F77-Q77</f>
        <v>59786.501999999979</v>
      </c>
      <c r="S77" s="127">
        <f>F77/Q77*100</f>
        <v>175.97000464182409</v>
      </c>
      <c r="T77" s="126">
        <f t="shared" ref="T77" si="89">T78+T79</f>
        <v>78697.510000000009</v>
      </c>
      <c r="U77" s="126">
        <f t="shared" ref="U77:U92" si="90">F77-T77</f>
        <v>59786.501999999979</v>
      </c>
      <c r="V77" s="127">
        <f>F77/T77*100</f>
        <v>175.97000464182409</v>
      </c>
      <c r="W77" s="127">
        <f t="shared" si="23"/>
        <v>146.64167053485343</v>
      </c>
      <c r="X77" s="124">
        <f t="shared" ref="X77" si="91">X78+X79</f>
        <v>79180.804000000004</v>
      </c>
      <c r="Y77" s="126">
        <f t="shared" ref="Y77:Y92" si="92">F77-X77</f>
        <v>59303.207999999984</v>
      </c>
      <c r="Z77" s="127">
        <f>F77/X77*100</f>
        <v>174.89594068784649</v>
      </c>
    </row>
    <row r="78" spans="1:31" s="67" customFormat="1" ht="51.75" customHeight="1" x14ac:dyDescent="0.3">
      <c r="A78" s="42" t="s">
        <v>116</v>
      </c>
      <c r="B78" s="109" t="s">
        <v>112</v>
      </c>
      <c r="C78" s="17" t="s">
        <v>113</v>
      </c>
      <c r="D78" s="134">
        <v>94437.012000000002</v>
      </c>
      <c r="E78" s="134">
        <f>D78</f>
        <v>94437.012000000002</v>
      </c>
      <c r="F78" s="129">
        <f t="shared" si="85"/>
        <v>99033.928</v>
      </c>
      <c r="G78" s="128">
        <v>5377.3590000000004</v>
      </c>
      <c r="H78" s="128">
        <v>6381.8329999999996</v>
      </c>
      <c r="I78" s="128">
        <v>2956.0810000000001</v>
      </c>
      <c r="J78" s="128">
        <v>2199.915</v>
      </c>
      <c r="K78" s="128">
        <v>2223.1080000000002</v>
      </c>
      <c r="L78" s="128">
        <v>35190.752</v>
      </c>
      <c r="M78" s="128">
        <v>2407.1750000000002</v>
      </c>
      <c r="N78" s="128">
        <v>7502.3540000000003</v>
      </c>
      <c r="O78" s="128">
        <v>30898.379000000001</v>
      </c>
      <c r="P78" s="128">
        <v>3896.9720000000002</v>
      </c>
      <c r="Q78" s="130">
        <v>78697.510000000009</v>
      </c>
      <c r="R78" s="131">
        <f t="shared" si="88"/>
        <v>20336.417999999991</v>
      </c>
      <c r="S78" s="132">
        <f>F78/Q78*100</f>
        <v>125.84124707376382</v>
      </c>
      <c r="T78" s="131">
        <f>E78/12*10</f>
        <v>78697.510000000009</v>
      </c>
      <c r="U78" s="131">
        <f t="shared" si="90"/>
        <v>20336.417999999991</v>
      </c>
      <c r="V78" s="132">
        <f>F78/T78*100</f>
        <v>125.84124707376382</v>
      </c>
      <c r="W78" s="132">
        <f t="shared" si="23"/>
        <v>104.86770589480318</v>
      </c>
      <c r="X78" s="129">
        <v>46660.323000000004</v>
      </c>
      <c r="Y78" s="131">
        <f t="shared" si="92"/>
        <v>52373.604999999996</v>
      </c>
      <c r="Z78" s="132">
        <f>F78/X78*100</f>
        <v>212.24441159569341</v>
      </c>
    </row>
    <row r="79" spans="1:31" s="67" customFormat="1" ht="23.25" x14ac:dyDescent="0.3">
      <c r="A79" s="42" t="s">
        <v>117</v>
      </c>
      <c r="B79" s="109" t="s">
        <v>114</v>
      </c>
      <c r="C79" s="17" t="s">
        <v>115</v>
      </c>
      <c r="D79" s="134">
        <v>0</v>
      </c>
      <c r="E79" s="134">
        <f>D79</f>
        <v>0</v>
      </c>
      <c r="F79" s="129">
        <f t="shared" si="85"/>
        <v>39450.084000000003</v>
      </c>
      <c r="G79" s="128">
        <v>1483.0319999999999</v>
      </c>
      <c r="H79" s="128">
        <v>1389.973</v>
      </c>
      <c r="I79" s="128">
        <v>8208.7800000000007</v>
      </c>
      <c r="J79" s="128">
        <v>1060.0519999999999</v>
      </c>
      <c r="K79" s="128">
        <v>7621.4009999999998</v>
      </c>
      <c r="L79" s="128">
        <v>2332.6419999999998</v>
      </c>
      <c r="M79" s="128">
        <v>4111.7139999999999</v>
      </c>
      <c r="N79" s="128">
        <v>159.786</v>
      </c>
      <c r="O79" s="128">
        <v>10292.73</v>
      </c>
      <c r="P79" s="128">
        <v>2789.9740000000002</v>
      </c>
      <c r="Q79" s="130">
        <v>0</v>
      </c>
      <c r="R79" s="131">
        <f t="shared" si="88"/>
        <v>39450.084000000003</v>
      </c>
      <c r="S79" s="132"/>
      <c r="T79" s="131"/>
      <c r="U79" s="131">
        <f t="shared" si="90"/>
        <v>39450.084000000003</v>
      </c>
      <c r="V79" s="132"/>
      <c r="W79" s="132"/>
      <c r="X79" s="129">
        <v>32520.481000000003</v>
      </c>
      <c r="Y79" s="131">
        <f t="shared" si="92"/>
        <v>6929.6029999999992</v>
      </c>
      <c r="Z79" s="132">
        <f>F79/X79*100</f>
        <v>121.30842714165266</v>
      </c>
    </row>
    <row r="80" spans="1:31" s="64" customFormat="1" ht="39" x14ac:dyDescent="0.3">
      <c r="A80" s="24">
        <v>2</v>
      </c>
      <c r="B80" s="122" t="s">
        <v>163</v>
      </c>
      <c r="C80" s="25" t="s">
        <v>161</v>
      </c>
      <c r="D80" s="133">
        <v>0</v>
      </c>
      <c r="E80" s="133">
        <v>0</v>
      </c>
      <c r="F80" s="124">
        <f t="shared" si="85"/>
        <v>38.006</v>
      </c>
      <c r="G80" s="123">
        <v>0</v>
      </c>
      <c r="H80" s="123">
        <v>38.006</v>
      </c>
      <c r="I80" s="123">
        <v>0</v>
      </c>
      <c r="J80" s="123">
        <v>0</v>
      </c>
      <c r="K80" s="123">
        <v>0</v>
      </c>
      <c r="L80" s="123">
        <v>0</v>
      </c>
      <c r="M80" s="123">
        <v>0</v>
      </c>
      <c r="N80" s="123">
        <v>0</v>
      </c>
      <c r="O80" s="123">
        <v>0</v>
      </c>
      <c r="P80" s="123">
        <v>0</v>
      </c>
      <c r="Q80" s="125">
        <v>0</v>
      </c>
      <c r="R80" s="126">
        <f t="shared" si="88"/>
        <v>38.006</v>
      </c>
      <c r="S80" s="127"/>
      <c r="T80" s="126"/>
      <c r="U80" s="126">
        <f t="shared" si="90"/>
        <v>38.006</v>
      </c>
      <c r="V80" s="127"/>
      <c r="W80" s="127"/>
      <c r="X80" s="124">
        <v>0</v>
      </c>
      <c r="Y80" s="126">
        <f t="shared" si="92"/>
        <v>38.006</v>
      </c>
      <c r="Z80" s="127"/>
    </row>
    <row r="81" spans="1:27" s="64" customFormat="1" ht="39.75" customHeight="1" x14ac:dyDescent="0.3">
      <c r="A81" s="24">
        <v>3</v>
      </c>
      <c r="B81" s="122" t="s">
        <v>31</v>
      </c>
      <c r="C81" s="25" t="s">
        <v>30</v>
      </c>
      <c r="D81" s="133">
        <v>2313.6999999999998</v>
      </c>
      <c r="E81" s="133">
        <v>2302.6999999999998</v>
      </c>
      <c r="F81" s="124">
        <f t="shared" si="85"/>
        <v>2013.9150000000002</v>
      </c>
      <c r="G81" s="123">
        <v>12.451000000000001</v>
      </c>
      <c r="H81" s="123">
        <v>361.55099999999999</v>
      </c>
      <c r="I81" s="123">
        <v>86.131</v>
      </c>
      <c r="J81" s="123">
        <v>210.38200000000001</v>
      </c>
      <c r="K81" s="123">
        <v>436.82900000000001</v>
      </c>
      <c r="L81" s="123">
        <v>80.813999999999993</v>
      </c>
      <c r="M81" s="123">
        <v>358.64800000000002</v>
      </c>
      <c r="N81" s="123">
        <v>260.13400000000001</v>
      </c>
      <c r="O81" s="123">
        <v>93.007999999999996</v>
      </c>
      <c r="P81" s="123">
        <v>113.967</v>
      </c>
      <c r="Q81" s="125">
        <v>1913.0060000000001</v>
      </c>
      <c r="R81" s="126">
        <f t="shared" si="88"/>
        <v>100.90900000000011</v>
      </c>
      <c r="S81" s="127">
        <f>F81/Q81*100</f>
        <v>105.27489197629281</v>
      </c>
      <c r="T81" s="126">
        <f>E81/12*10</f>
        <v>1918.9166666666665</v>
      </c>
      <c r="U81" s="126">
        <f t="shared" si="90"/>
        <v>94.998333333333676</v>
      </c>
      <c r="V81" s="127">
        <f t="shared" ref="V81:V87" si="93">F81/T81*100</f>
        <v>104.95062318148263</v>
      </c>
      <c r="W81" s="127">
        <f>F81/E81*100</f>
        <v>87.458852651235517</v>
      </c>
      <c r="X81" s="124">
        <v>1539.1610000000001</v>
      </c>
      <c r="Y81" s="126">
        <f t="shared" si="92"/>
        <v>474.75400000000013</v>
      </c>
      <c r="Z81" s="127">
        <f>F81/X81*100</f>
        <v>130.84498632696645</v>
      </c>
    </row>
    <row r="82" spans="1:27" s="64" customFormat="1" ht="58.5" x14ac:dyDescent="0.3">
      <c r="A82" s="24">
        <v>4</v>
      </c>
      <c r="B82" s="122" t="s">
        <v>164</v>
      </c>
      <c r="C82" s="25" t="s">
        <v>162</v>
      </c>
      <c r="D82" s="133">
        <v>0</v>
      </c>
      <c r="E82" s="133">
        <f t="shared" ref="E82:E85" si="94">D82</f>
        <v>0</v>
      </c>
      <c r="F82" s="124">
        <f t="shared" si="85"/>
        <v>0.46499999999999997</v>
      </c>
      <c r="G82" s="123">
        <v>0</v>
      </c>
      <c r="H82" s="123">
        <v>0.36</v>
      </c>
      <c r="I82" s="123">
        <v>0.105</v>
      </c>
      <c r="J82" s="123">
        <v>0</v>
      </c>
      <c r="K82" s="123">
        <v>0</v>
      </c>
      <c r="L82" s="123">
        <v>0</v>
      </c>
      <c r="M82" s="123">
        <v>0</v>
      </c>
      <c r="N82" s="123">
        <v>0</v>
      </c>
      <c r="O82" s="123">
        <v>0</v>
      </c>
      <c r="P82" s="123">
        <v>0</v>
      </c>
      <c r="Q82" s="125">
        <v>0</v>
      </c>
      <c r="R82" s="126">
        <f t="shared" si="88"/>
        <v>0.46499999999999997</v>
      </c>
      <c r="S82" s="127"/>
      <c r="T82" s="126"/>
      <c r="U82" s="126">
        <f t="shared" si="90"/>
        <v>0.46499999999999997</v>
      </c>
      <c r="V82" s="127"/>
      <c r="W82" s="127"/>
      <c r="X82" s="124">
        <v>0</v>
      </c>
      <c r="Y82" s="126">
        <f t="shared" si="92"/>
        <v>0.46499999999999997</v>
      </c>
      <c r="Z82" s="127"/>
    </row>
    <row r="83" spans="1:27" s="64" customFormat="1" ht="39" x14ac:dyDescent="0.3">
      <c r="A83" s="24">
        <v>5</v>
      </c>
      <c r="B83" s="122" t="s">
        <v>84</v>
      </c>
      <c r="C83" s="25">
        <v>21110000</v>
      </c>
      <c r="D83" s="133">
        <v>110</v>
      </c>
      <c r="E83" s="133">
        <f t="shared" si="94"/>
        <v>110</v>
      </c>
      <c r="F83" s="124">
        <f t="shared" si="85"/>
        <v>58.232999999999997</v>
      </c>
      <c r="G83" s="123">
        <v>0</v>
      </c>
      <c r="H83" s="123">
        <v>0</v>
      </c>
      <c r="I83" s="123">
        <v>0</v>
      </c>
      <c r="J83" s="123">
        <v>0</v>
      </c>
      <c r="K83" s="123">
        <v>0</v>
      </c>
      <c r="L83" s="123">
        <v>0</v>
      </c>
      <c r="M83" s="123">
        <v>0</v>
      </c>
      <c r="N83" s="123">
        <v>0</v>
      </c>
      <c r="O83" s="123">
        <v>58.232999999999997</v>
      </c>
      <c r="P83" s="123">
        <v>0</v>
      </c>
      <c r="Q83" s="125">
        <v>58.2</v>
      </c>
      <c r="R83" s="126">
        <f t="shared" si="88"/>
        <v>3.2999999999994145E-2</v>
      </c>
      <c r="S83" s="127"/>
      <c r="T83" s="126">
        <f t="shared" ref="T83:T84" si="95">E83/12*10</f>
        <v>91.666666666666657</v>
      </c>
      <c r="U83" s="126">
        <f t="shared" si="90"/>
        <v>-33.43366666666666</v>
      </c>
      <c r="V83" s="127">
        <f t="shared" si="93"/>
        <v>63.526909090909086</v>
      </c>
      <c r="W83" s="127">
        <f t="shared" ref="W83:W104" si="96">F83/E83*100</f>
        <v>52.939090909090901</v>
      </c>
      <c r="X83" s="124">
        <v>79.931999999999988</v>
      </c>
      <c r="Y83" s="126">
        <f t="shared" si="92"/>
        <v>-21.698999999999991</v>
      </c>
      <c r="Z83" s="127">
        <f>F83/X83*100</f>
        <v>72.853175198919089</v>
      </c>
    </row>
    <row r="84" spans="1:27" s="64" customFormat="1" ht="58.5" x14ac:dyDescent="0.3">
      <c r="A84" s="24">
        <f t="shared" ref="A84:A86" si="97">A83+1</f>
        <v>6</v>
      </c>
      <c r="B84" s="63" t="s">
        <v>26</v>
      </c>
      <c r="C84" s="25" t="s">
        <v>25</v>
      </c>
      <c r="D84" s="133">
        <v>20</v>
      </c>
      <c r="E84" s="133">
        <v>31</v>
      </c>
      <c r="F84" s="124">
        <f t="shared" si="85"/>
        <v>41.97</v>
      </c>
      <c r="G84" s="123">
        <v>11.72</v>
      </c>
      <c r="H84" s="123">
        <v>2.343</v>
      </c>
      <c r="I84" s="123">
        <v>0</v>
      </c>
      <c r="J84" s="123">
        <v>0</v>
      </c>
      <c r="K84" s="123">
        <v>0.41799999999999998</v>
      </c>
      <c r="L84" s="123">
        <v>0</v>
      </c>
      <c r="M84" s="123">
        <v>3.6989999999999998</v>
      </c>
      <c r="N84" s="123">
        <v>9.1240000000000006</v>
      </c>
      <c r="O84" s="123">
        <v>8.6479999999999997</v>
      </c>
      <c r="P84" s="123">
        <v>6.0179999999999998</v>
      </c>
      <c r="Q84" s="125">
        <v>31</v>
      </c>
      <c r="R84" s="126">
        <f t="shared" si="88"/>
        <v>10.969999999999999</v>
      </c>
      <c r="S84" s="127">
        <f>F84/Q84*100</f>
        <v>135.38709677419354</v>
      </c>
      <c r="T84" s="126">
        <f t="shared" si="95"/>
        <v>25.833333333333336</v>
      </c>
      <c r="U84" s="126">
        <f t="shared" si="90"/>
        <v>16.136666666666663</v>
      </c>
      <c r="V84" s="127">
        <f t="shared" si="93"/>
        <v>162.46451612903223</v>
      </c>
      <c r="W84" s="127">
        <f t="shared" si="96"/>
        <v>135.38709677419354</v>
      </c>
      <c r="X84" s="124">
        <v>206.54599999999996</v>
      </c>
      <c r="Y84" s="126">
        <f t="shared" si="92"/>
        <v>-164.57599999999996</v>
      </c>
      <c r="Z84" s="127">
        <f>F84/X84*100</f>
        <v>20.319928732582575</v>
      </c>
    </row>
    <row r="85" spans="1:27" s="64" customFormat="1" ht="78" x14ac:dyDescent="0.3">
      <c r="A85" s="24">
        <f t="shared" si="97"/>
        <v>7</v>
      </c>
      <c r="B85" s="63" t="s">
        <v>65</v>
      </c>
      <c r="C85" s="25" t="s">
        <v>66</v>
      </c>
      <c r="D85" s="133">
        <v>0</v>
      </c>
      <c r="E85" s="133">
        <f t="shared" si="94"/>
        <v>0</v>
      </c>
      <c r="F85" s="124">
        <f t="shared" si="85"/>
        <v>0</v>
      </c>
      <c r="G85" s="123">
        <v>0</v>
      </c>
      <c r="H85" s="123">
        <v>0</v>
      </c>
      <c r="I85" s="123">
        <v>0</v>
      </c>
      <c r="J85" s="123">
        <v>0</v>
      </c>
      <c r="K85" s="123">
        <v>0</v>
      </c>
      <c r="L85" s="123">
        <v>0</v>
      </c>
      <c r="M85" s="123">
        <v>0</v>
      </c>
      <c r="N85" s="123">
        <v>0</v>
      </c>
      <c r="O85" s="123">
        <v>0</v>
      </c>
      <c r="P85" s="123">
        <v>0</v>
      </c>
      <c r="Q85" s="125">
        <v>0</v>
      </c>
      <c r="R85" s="126">
        <f t="shared" si="88"/>
        <v>0</v>
      </c>
      <c r="S85" s="127"/>
      <c r="T85" s="126"/>
      <c r="U85" s="126">
        <f t="shared" si="90"/>
        <v>0</v>
      </c>
      <c r="V85" s="127"/>
      <c r="W85" s="127"/>
      <c r="X85" s="124">
        <v>0.17400000000000004</v>
      </c>
      <c r="Y85" s="126">
        <f t="shared" si="92"/>
        <v>-0.17400000000000004</v>
      </c>
      <c r="Z85" s="127"/>
    </row>
    <row r="86" spans="1:27" s="32" customFormat="1" ht="28.5" customHeight="1" x14ac:dyDescent="0.3">
      <c r="A86" s="12">
        <f t="shared" si="97"/>
        <v>8</v>
      </c>
      <c r="B86" s="16" t="s">
        <v>10</v>
      </c>
      <c r="C86" s="9"/>
      <c r="D86" s="58">
        <f>SUM(D87:D90)</f>
        <v>69003.199999999997</v>
      </c>
      <c r="E86" s="58">
        <f>SUM(E87:E90)</f>
        <v>69003.199999999997</v>
      </c>
      <c r="F86" s="49">
        <f t="shared" si="85"/>
        <v>33821.762000000002</v>
      </c>
      <c r="G86" s="58">
        <f t="shared" ref="G86:P86" si="98">SUM(G87:G90)</f>
        <v>7157.3879999999999</v>
      </c>
      <c r="H86" s="58">
        <f t="shared" si="98"/>
        <v>8333.3260000000009</v>
      </c>
      <c r="I86" s="58">
        <f t="shared" si="98"/>
        <v>847.39499999999998</v>
      </c>
      <c r="J86" s="58">
        <f t="shared" si="98"/>
        <v>575.39599999999996</v>
      </c>
      <c r="K86" s="58">
        <f t="shared" ref="K86:O86" si="99">SUM(K87:K90)</f>
        <v>1579.5550000000001</v>
      </c>
      <c r="L86" s="58">
        <f t="shared" si="99"/>
        <v>3382.8950000000004</v>
      </c>
      <c r="M86" s="58">
        <f t="shared" si="99"/>
        <v>4645.9940000000006</v>
      </c>
      <c r="N86" s="58">
        <f t="shared" si="99"/>
        <v>3878.5970000000002</v>
      </c>
      <c r="O86" s="58">
        <f t="shared" si="99"/>
        <v>2405.6220000000003</v>
      </c>
      <c r="P86" s="58">
        <f t="shared" si="98"/>
        <v>1015.5940000000001</v>
      </c>
      <c r="Q86" s="58">
        <f>SUM(Q87:Q90)</f>
        <v>33571.300000000003</v>
      </c>
      <c r="R86" s="58">
        <f t="shared" si="88"/>
        <v>250.46199999999953</v>
      </c>
      <c r="S86" s="97">
        <f>F86/Q86*100</f>
        <v>100.74605987852718</v>
      </c>
      <c r="T86" s="58">
        <f>SUM(T87:T90)</f>
        <v>57502.666666666672</v>
      </c>
      <c r="U86" s="96">
        <f t="shared" si="90"/>
        <v>-23680.904666666669</v>
      </c>
      <c r="V86" s="97">
        <f t="shared" si="93"/>
        <v>58.817727873489922</v>
      </c>
      <c r="W86" s="97">
        <f t="shared" si="96"/>
        <v>49.014773227908279</v>
      </c>
      <c r="X86" s="49">
        <f>SUM(X87:X90)</f>
        <v>69414.387999999992</v>
      </c>
      <c r="Y86" s="96">
        <f t="shared" si="92"/>
        <v>-35592.625999999989</v>
      </c>
      <c r="Z86" s="97">
        <f t="shared" ref="Z86:Z92" si="100">F86/X86*100</f>
        <v>48.724425835174124</v>
      </c>
      <c r="AA86" s="65"/>
    </row>
    <row r="87" spans="1:27" s="67" customFormat="1" ht="39" x14ac:dyDescent="0.3">
      <c r="A87" s="14" t="s">
        <v>165</v>
      </c>
      <c r="B87" s="109" t="s">
        <v>138</v>
      </c>
      <c r="C87" s="17" t="s">
        <v>63</v>
      </c>
      <c r="D87" s="134">
        <v>3.2</v>
      </c>
      <c r="E87" s="134">
        <f t="shared" ref="E87:E89" si="101">D87</f>
        <v>3.2</v>
      </c>
      <c r="F87" s="129">
        <f t="shared" si="85"/>
        <v>1</v>
      </c>
      <c r="G87" s="128">
        <v>0</v>
      </c>
      <c r="H87" s="128">
        <v>0</v>
      </c>
      <c r="I87" s="128">
        <v>0</v>
      </c>
      <c r="J87" s="128">
        <v>0</v>
      </c>
      <c r="K87" s="128">
        <v>0</v>
      </c>
      <c r="L87" s="128">
        <v>1</v>
      </c>
      <c r="M87" s="128">
        <v>0</v>
      </c>
      <c r="N87" s="128">
        <v>0</v>
      </c>
      <c r="O87" s="128">
        <v>0</v>
      </c>
      <c r="P87" s="128">
        <v>0</v>
      </c>
      <c r="Q87" s="130">
        <v>1</v>
      </c>
      <c r="R87" s="131">
        <f t="shared" si="88"/>
        <v>0</v>
      </c>
      <c r="S87" s="132">
        <f t="shared" ref="S87:S88" si="102">F87/Q87*100</f>
        <v>100</v>
      </c>
      <c r="T87" s="131">
        <f t="shared" ref="T87:T91" si="103">E87/12*10</f>
        <v>2.6666666666666665</v>
      </c>
      <c r="U87" s="131">
        <f t="shared" si="90"/>
        <v>-1.6666666666666665</v>
      </c>
      <c r="V87" s="132">
        <f t="shared" si="93"/>
        <v>37.5</v>
      </c>
      <c r="W87" s="132">
        <f t="shared" si="96"/>
        <v>31.25</v>
      </c>
      <c r="X87" s="129">
        <v>2.2000000000000002</v>
      </c>
      <c r="Y87" s="131">
        <f t="shared" si="92"/>
        <v>-1.2000000000000002</v>
      </c>
      <c r="Z87" s="132">
        <f t="shared" si="100"/>
        <v>45.454545454545453</v>
      </c>
    </row>
    <row r="88" spans="1:27" s="67" customFormat="1" ht="39" x14ac:dyDescent="0.3">
      <c r="A88" s="14" t="s">
        <v>166</v>
      </c>
      <c r="B88" s="109" t="s">
        <v>155</v>
      </c>
      <c r="C88" s="17" t="s">
        <v>44</v>
      </c>
      <c r="D88" s="134">
        <v>0</v>
      </c>
      <c r="E88" s="134">
        <v>1338.6</v>
      </c>
      <c r="F88" s="129">
        <f t="shared" si="85"/>
        <v>1389.306</v>
      </c>
      <c r="G88" s="128">
        <v>12.75</v>
      </c>
      <c r="H88" s="128">
        <v>807.42100000000005</v>
      </c>
      <c r="I88" s="128">
        <v>3.4470000000000001</v>
      </c>
      <c r="J88" s="128">
        <v>0</v>
      </c>
      <c r="K88" s="128">
        <v>0</v>
      </c>
      <c r="L88" s="128">
        <v>243.47399999999999</v>
      </c>
      <c r="M88" s="128">
        <v>271.63799999999998</v>
      </c>
      <c r="N88" s="128">
        <v>30.451000000000001</v>
      </c>
      <c r="O88" s="128">
        <v>20.125</v>
      </c>
      <c r="P88" s="128">
        <v>0</v>
      </c>
      <c r="Q88" s="130">
        <v>1338.6</v>
      </c>
      <c r="R88" s="131">
        <f t="shared" si="88"/>
        <v>50.706000000000131</v>
      </c>
      <c r="S88" s="132">
        <f t="shared" si="102"/>
        <v>103.78798744957419</v>
      </c>
      <c r="T88" s="131">
        <f t="shared" si="103"/>
        <v>1115.5</v>
      </c>
      <c r="U88" s="131">
        <f t="shared" si="90"/>
        <v>273.80600000000004</v>
      </c>
      <c r="V88" s="132">
        <f>F88/T88*100</f>
        <v>124.54558493948902</v>
      </c>
      <c r="W88" s="132">
        <f t="shared" ref="W88" si="104">F88/E88*100</f>
        <v>103.78798744957419</v>
      </c>
      <c r="X88" s="129">
        <v>13884.539999999999</v>
      </c>
      <c r="Y88" s="131">
        <f t="shared" si="92"/>
        <v>-12495.233999999999</v>
      </c>
      <c r="Z88" s="132">
        <f t="shared" si="100"/>
        <v>10.006136321404959</v>
      </c>
      <c r="AA88" s="67">
        <v>-8026.875</v>
      </c>
    </row>
    <row r="89" spans="1:27" s="67" customFormat="1" ht="39" x14ac:dyDescent="0.3">
      <c r="A89" s="14" t="s">
        <v>167</v>
      </c>
      <c r="B89" s="109" t="s">
        <v>36</v>
      </c>
      <c r="C89" s="17" t="s">
        <v>22</v>
      </c>
      <c r="D89" s="134">
        <v>19000</v>
      </c>
      <c r="E89" s="134">
        <f t="shared" si="101"/>
        <v>19000</v>
      </c>
      <c r="F89" s="129">
        <f t="shared" si="85"/>
        <v>14936.89</v>
      </c>
      <c r="G89" s="128">
        <v>3.9</v>
      </c>
      <c r="H89" s="128">
        <v>6190.4620000000004</v>
      </c>
      <c r="I89" s="128">
        <v>380.21600000000001</v>
      </c>
      <c r="J89" s="128">
        <v>0</v>
      </c>
      <c r="K89" s="128">
        <v>400</v>
      </c>
      <c r="L89" s="128">
        <v>1818.413</v>
      </c>
      <c r="M89" s="128">
        <v>2656.34</v>
      </c>
      <c r="N89" s="128">
        <v>2622.5590000000002</v>
      </c>
      <c r="O89" s="128">
        <v>865</v>
      </c>
      <c r="P89" s="128">
        <v>0</v>
      </c>
      <c r="Q89" s="130">
        <v>14936</v>
      </c>
      <c r="R89" s="131">
        <f t="shared" si="88"/>
        <v>0.88999999999941792</v>
      </c>
      <c r="S89" s="132">
        <f>F89/Q89*100</f>
        <v>100.00595875736475</v>
      </c>
      <c r="T89" s="131">
        <f t="shared" si="103"/>
        <v>15833.333333333332</v>
      </c>
      <c r="U89" s="131">
        <f t="shared" si="90"/>
        <v>-896.4433333333327</v>
      </c>
      <c r="V89" s="132">
        <f>F89/T89*100</f>
        <v>94.338252631578953</v>
      </c>
      <c r="W89" s="132">
        <f t="shared" si="96"/>
        <v>78.615210526315778</v>
      </c>
      <c r="X89" s="129">
        <v>13638.048999999999</v>
      </c>
      <c r="Y89" s="131">
        <f t="shared" si="92"/>
        <v>1298.8410000000003</v>
      </c>
      <c r="Z89" s="132">
        <f t="shared" si="100"/>
        <v>109.52365693949334</v>
      </c>
    </row>
    <row r="90" spans="1:27" s="66" customFormat="1" ht="36.75" customHeight="1" x14ac:dyDescent="0.3">
      <c r="A90" s="14" t="s">
        <v>168</v>
      </c>
      <c r="B90" s="45" t="s">
        <v>67</v>
      </c>
      <c r="C90" s="17" t="s">
        <v>42</v>
      </c>
      <c r="D90" s="134">
        <v>50000</v>
      </c>
      <c r="E90" s="134">
        <v>48661.4</v>
      </c>
      <c r="F90" s="137">
        <f t="shared" si="85"/>
        <v>17494.566000000003</v>
      </c>
      <c r="G90" s="134">
        <v>7140.7380000000003</v>
      </c>
      <c r="H90" s="134">
        <v>1335.443</v>
      </c>
      <c r="I90" s="134">
        <v>463.73200000000003</v>
      </c>
      <c r="J90" s="134">
        <v>575.39599999999996</v>
      </c>
      <c r="K90" s="134">
        <v>1179.5550000000001</v>
      </c>
      <c r="L90" s="134">
        <v>1320.008</v>
      </c>
      <c r="M90" s="134">
        <v>1718.0160000000001</v>
      </c>
      <c r="N90" s="134">
        <v>1225.587</v>
      </c>
      <c r="O90" s="134">
        <v>1520.4970000000001</v>
      </c>
      <c r="P90" s="134">
        <v>1015.5940000000001</v>
      </c>
      <c r="Q90" s="134">
        <v>17295.7</v>
      </c>
      <c r="R90" s="131">
        <f t="shared" si="88"/>
        <v>198.8660000000018</v>
      </c>
      <c r="S90" s="132">
        <f>F90/Q90*100</f>
        <v>101.14980023936586</v>
      </c>
      <c r="T90" s="131">
        <f t="shared" si="103"/>
        <v>40551.166666666672</v>
      </c>
      <c r="U90" s="131">
        <f t="shared" si="90"/>
        <v>-23056.600666666669</v>
      </c>
      <c r="V90" s="132">
        <f>F90/T90*100</f>
        <v>43.141954814288127</v>
      </c>
      <c r="W90" s="132">
        <f t="shared" si="96"/>
        <v>35.951629011906775</v>
      </c>
      <c r="X90" s="137">
        <v>41889.598999999995</v>
      </c>
      <c r="Y90" s="131">
        <f t="shared" si="92"/>
        <v>-24395.032999999992</v>
      </c>
      <c r="Z90" s="132">
        <f t="shared" si="100"/>
        <v>41.763507929498218</v>
      </c>
    </row>
    <row r="91" spans="1:27" s="64" customFormat="1" ht="23.25" x14ac:dyDescent="0.3">
      <c r="A91" s="24">
        <v>9</v>
      </c>
      <c r="B91" s="122" t="s">
        <v>11</v>
      </c>
      <c r="C91" s="25" t="s">
        <v>23</v>
      </c>
      <c r="D91" s="133">
        <v>6090</v>
      </c>
      <c r="E91" s="133">
        <v>8090</v>
      </c>
      <c r="F91" s="124">
        <f t="shared" si="85"/>
        <v>10483.428</v>
      </c>
      <c r="G91" s="123">
        <v>783.11300000000006</v>
      </c>
      <c r="H91" s="123">
        <v>689.47199999999998</v>
      </c>
      <c r="I91" s="123">
        <v>223.41900000000001</v>
      </c>
      <c r="J91" s="123">
        <v>278.96499999999997</v>
      </c>
      <c r="K91" s="123">
        <v>308.18299999999999</v>
      </c>
      <c r="L91" s="123">
        <v>263.78800000000001</v>
      </c>
      <c r="M91" s="123">
        <v>590.61500000000001</v>
      </c>
      <c r="N91" s="123">
        <v>1045.346</v>
      </c>
      <c r="O91" s="123">
        <v>3257.0039999999999</v>
      </c>
      <c r="P91" s="123">
        <v>3043.5230000000001</v>
      </c>
      <c r="Q91" s="125">
        <v>8090</v>
      </c>
      <c r="R91" s="126">
        <f t="shared" si="88"/>
        <v>2393.4279999999999</v>
      </c>
      <c r="S91" s="127">
        <f>F91/Q91*100</f>
        <v>129.58501854140914</v>
      </c>
      <c r="T91" s="126">
        <f t="shared" si="103"/>
        <v>6741.6666666666661</v>
      </c>
      <c r="U91" s="126">
        <f t="shared" si="90"/>
        <v>3741.7613333333338</v>
      </c>
      <c r="V91" s="127">
        <f>F91/T91*100</f>
        <v>155.50202224969098</v>
      </c>
      <c r="W91" s="127">
        <f t="shared" si="96"/>
        <v>129.58501854140914</v>
      </c>
      <c r="X91" s="124">
        <v>6803.0260000000007</v>
      </c>
      <c r="Y91" s="126">
        <f t="shared" si="92"/>
        <v>3680.4019999999991</v>
      </c>
      <c r="Z91" s="127">
        <f t="shared" si="100"/>
        <v>154.09948455290333</v>
      </c>
    </row>
    <row r="92" spans="1:27" s="54" customFormat="1" ht="39" customHeight="1" x14ac:dyDescent="0.3">
      <c r="A92" s="52"/>
      <c r="B92" s="90" t="s">
        <v>157</v>
      </c>
      <c r="C92" s="53"/>
      <c r="D92" s="49">
        <f>D77+D81+D84+D85+D87+D88+D89+D90+D91+D83</f>
        <v>171973.91200000001</v>
      </c>
      <c r="E92" s="49">
        <f>E77+E81+E84+E85+E87+E88+E89+E90+E91+E83</f>
        <v>173973.91200000001</v>
      </c>
      <c r="F92" s="49">
        <f t="shared" si="85"/>
        <v>184941.79100000003</v>
      </c>
      <c r="G92" s="49">
        <f>G77+G81+G84+G85+G87+G88+G89+G90+G91+G83</f>
        <v>14825.063</v>
      </c>
      <c r="H92" s="49">
        <f t="shared" ref="H92:P92" si="105">H77+H81+H84+H85+H87+H88+H89+H90+H91+H83+H80+H82</f>
        <v>17196.864000000001</v>
      </c>
      <c r="I92" s="49">
        <f t="shared" si="105"/>
        <v>12321.911</v>
      </c>
      <c r="J92" s="49">
        <f t="shared" si="105"/>
        <v>4324.71</v>
      </c>
      <c r="K92" s="49">
        <f t="shared" si="105"/>
        <v>12169.493999999999</v>
      </c>
      <c r="L92" s="49">
        <f t="shared" si="105"/>
        <v>41250.891000000003</v>
      </c>
      <c r="M92" s="49">
        <f t="shared" ref="M92:O92" si="106">M77+M81+M84+M85+M87+M88+M89+M90+M91+M83+M80+M82</f>
        <v>12117.844999999999</v>
      </c>
      <c r="N92" s="49">
        <f t="shared" si="106"/>
        <v>12855.340999999999</v>
      </c>
      <c r="O92" s="49">
        <f t="shared" si="106"/>
        <v>47013.624000000003</v>
      </c>
      <c r="P92" s="49">
        <f t="shared" si="105"/>
        <v>10866.047999999999</v>
      </c>
      <c r="Q92" s="49">
        <f>Q77+Q81+Q84+Q85+Q87+Q88+Q89+Q90+Q91+Q83</f>
        <v>122361.016</v>
      </c>
      <c r="R92" s="92">
        <f t="shared" si="88"/>
        <v>62580.775000000023</v>
      </c>
      <c r="S92" s="93">
        <f>F92/Q92*100</f>
        <v>151.1443734661373</v>
      </c>
      <c r="T92" s="92">
        <f>T77+T81+T84+T85+T87+T88+T89+T90+T91+T83</f>
        <v>144978.26</v>
      </c>
      <c r="U92" s="92">
        <f t="shared" si="90"/>
        <v>39963.531000000017</v>
      </c>
      <c r="V92" s="93">
        <f>F92/T92*100</f>
        <v>127.56518873933238</v>
      </c>
      <c r="W92" s="93">
        <f t="shared" si="96"/>
        <v>106.30432394944364</v>
      </c>
      <c r="X92" s="49">
        <f>X77+X81+X84+X85+X87+X88+X89+X90+X91+X83</f>
        <v>157224.03099999999</v>
      </c>
      <c r="Y92" s="92">
        <f t="shared" si="92"/>
        <v>27717.760000000038</v>
      </c>
      <c r="Z92" s="93">
        <f t="shared" si="100"/>
        <v>117.62946785151441</v>
      </c>
    </row>
    <row r="93" spans="1:27" s="70" customFormat="1" ht="22.5" hidden="1" x14ac:dyDescent="0.3">
      <c r="A93" s="69"/>
      <c r="B93" s="158"/>
      <c r="C93" s="57"/>
      <c r="D93" s="58"/>
      <c r="E93" s="58"/>
      <c r="F93" s="49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96"/>
      <c r="S93" s="97"/>
      <c r="T93" s="96"/>
      <c r="U93" s="96"/>
      <c r="V93" s="97"/>
      <c r="W93" s="97"/>
      <c r="X93" s="49"/>
      <c r="Y93" s="96"/>
      <c r="Z93" s="97"/>
    </row>
    <row r="94" spans="1:27" s="27" customFormat="1" ht="97.5" x14ac:dyDescent="0.25">
      <c r="A94" s="24">
        <v>1</v>
      </c>
      <c r="B94" s="63" t="s">
        <v>130</v>
      </c>
      <c r="C94" s="25" t="s">
        <v>70</v>
      </c>
      <c r="D94" s="133">
        <v>22916.2</v>
      </c>
      <c r="E94" s="133">
        <v>22916.2</v>
      </c>
      <c r="F94" s="138">
        <f t="shared" si="85"/>
        <v>0</v>
      </c>
      <c r="G94" s="133">
        <v>0</v>
      </c>
      <c r="H94" s="133">
        <v>0</v>
      </c>
      <c r="I94" s="133">
        <v>0</v>
      </c>
      <c r="J94" s="133">
        <v>0</v>
      </c>
      <c r="K94" s="133">
        <v>0</v>
      </c>
      <c r="L94" s="133">
        <v>0</v>
      </c>
      <c r="M94" s="133">
        <v>0</v>
      </c>
      <c r="N94" s="133">
        <v>0</v>
      </c>
      <c r="O94" s="133">
        <v>0</v>
      </c>
      <c r="P94" s="133">
        <v>0</v>
      </c>
      <c r="Q94" s="133">
        <v>22916.2</v>
      </c>
      <c r="R94" s="126">
        <f>F94-Q94</f>
        <v>-22916.2</v>
      </c>
      <c r="S94" s="139"/>
      <c r="T94" s="133">
        <f>D94</f>
        <v>22916.2</v>
      </c>
      <c r="U94" s="126">
        <f>F94-T94</f>
        <v>-22916.2</v>
      </c>
      <c r="V94" s="139">
        <f>F94/T94*100</f>
        <v>0</v>
      </c>
      <c r="W94" s="139">
        <f t="shared" si="96"/>
        <v>0</v>
      </c>
      <c r="X94" s="138">
        <v>6040.8</v>
      </c>
      <c r="Y94" s="126">
        <f>F94-X94</f>
        <v>-6040.8</v>
      </c>
      <c r="Z94" s="127"/>
    </row>
    <row r="95" spans="1:27" s="27" customFormat="1" ht="97.5" x14ac:dyDescent="0.25">
      <c r="A95" s="24">
        <v>2</v>
      </c>
      <c r="B95" s="63" t="s">
        <v>193</v>
      </c>
      <c r="C95" s="25" t="s">
        <v>194</v>
      </c>
      <c r="D95" s="133">
        <v>0</v>
      </c>
      <c r="E95" s="133">
        <v>0</v>
      </c>
      <c r="F95" s="138">
        <f t="shared" si="85"/>
        <v>0</v>
      </c>
      <c r="G95" s="133">
        <v>0</v>
      </c>
      <c r="H95" s="133">
        <v>0</v>
      </c>
      <c r="I95" s="133">
        <v>0</v>
      </c>
      <c r="J95" s="133">
        <v>0</v>
      </c>
      <c r="K95" s="133">
        <v>0</v>
      </c>
      <c r="L95" s="133">
        <v>0</v>
      </c>
      <c r="M95" s="133">
        <v>0</v>
      </c>
      <c r="N95" s="133">
        <v>0</v>
      </c>
      <c r="O95" s="133">
        <v>0</v>
      </c>
      <c r="P95" s="133">
        <v>0</v>
      </c>
      <c r="Q95" s="133">
        <v>0</v>
      </c>
      <c r="R95" s="126">
        <f>F95-Q95</f>
        <v>0</v>
      </c>
      <c r="S95" s="139"/>
      <c r="T95" s="133">
        <f>D95</f>
        <v>0</v>
      </c>
      <c r="U95" s="126">
        <f>F95-T95</f>
        <v>0</v>
      </c>
      <c r="V95" s="139"/>
      <c r="W95" s="139"/>
      <c r="X95" s="138">
        <v>22508.962</v>
      </c>
      <c r="Y95" s="126">
        <f>F95-X95</f>
        <v>-22508.962</v>
      </c>
      <c r="Z95" s="127"/>
    </row>
    <row r="96" spans="1:27" s="27" customFormat="1" ht="36.75" customHeight="1" x14ac:dyDescent="0.25">
      <c r="A96" s="24">
        <v>3</v>
      </c>
      <c r="B96" s="184" t="s">
        <v>206</v>
      </c>
      <c r="C96" s="25" t="s">
        <v>110</v>
      </c>
      <c r="D96" s="133">
        <v>0</v>
      </c>
      <c r="E96" s="133">
        <v>0</v>
      </c>
      <c r="F96" s="138">
        <f t="shared" si="85"/>
        <v>0</v>
      </c>
      <c r="G96" s="133">
        <f>SUM(G97:G98)</f>
        <v>0</v>
      </c>
      <c r="H96" s="133">
        <f t="shared" ref="H96:Q96" si="107">SUM(H97:H98)</f>
        <v>0</v>
      </c>
      <c r="I96" s="133">
        <f t="shared" si="107"/>
        <v>0</v>
      </c>
      <c r="J96" s="133">
        <f t="shared" si="107"/>
        <v>0</v>
      </c>
      <c r="K96" s="133">
        <f t="shared" si="107"/>
        <v>0</v>
      </c>
      <c r="L96" s="133">
        <f t="shared" si="107"/>
        <v>0</v>
      </c>
      <c r="M96" s="133">
        <f t="shared" si="107"/>
        <v>0</v>
      </c>
      <c r="N96" s="133">
        <f t="shared" si="107"/>
        <v>0</v>
      </c>
      <c r="O96" s="133">
        <f t="shared" ref="O96" si="108">SUM(O97:O98)</f>
        <v>0</v>
      </c>
      <c r="P96" s="133">
        <f t="shared" si="107"/>
        <v>0</v>
      </c>
      <c r="Q96" s="133">
        <f t="shared" si="107"/>
        <v>0</v>
      </c>
      <c r="R96" s="126">
        <f t="shared" ref="R96:R98" si="109">F96-Q96</f>
        <v>0</v>
      </c>
      <c r="S96" s="139"/>
      <c r="T96" s="133">
        <f t="shared" ref="T96:T98" si="110">D96</f>
        <v>0</v>
      </c>
      <c r="U96" s="126">
        <f t="shared" ref="U96:U98" si="111">F96-T96</f>
        <v>0</v>
      </c>
      <c r="V96" s="139"/>
      <c r="W96" s="139"/>
      <c r="X96" s="138">
        <f>SUM(X97:X98)</f>
        <v>10108.492</v>
      </c>
      <c r="Y96" s="126">
        <f>F96-X96</f>
        <v>-10108.492</v>
      </c>
      <c r="Z96" s="127"/>
    </row>
    <row r="97" spans="1:28" s="8" customFormat="1" ht="58.5" x14ac:dyDescent="0.25">
      <c r="A97" s="42"/>
      <c r="B97" s="185" t="s">
        <v>207</v>
      </c>
      <c r="C97" s="17"/>
      <c r="D97" s="134">
        <v>0</v>
      </c>
      <c r="E97" s="134">
        <v>0</v>
      </c>
      <c r="F97" s="137">
        <f t="shared" si="85"/>
        <v>0</v>
      </c>
      <c r="G97" s="134">
        <v>0</v>
      </c>
      <c r="H97" s="134">
        <v>0</v>
      </c>
      <c r="I97" s="134">
        <v>0</v>
      </c>
      <c r="J97" s="134">
        <v>0</v>
      </c>
      <c r="K97" s="134">
        <v>0</v>
      </c>
      <c r="L97" s="134">
        <v>0</v>
      </c>
      <c r="M97" s="134">
        <v>0</v>
      </c>
      <c r="N97" s="134">
        <v>0</v>
      </c>
      <c r="O97" s="134">
        <v>0</v>
      </c>
      <c r="P97" s="134">
        <v>0</v>
      </c>
      <c r="Q97" s="134">
        <v>0</v>
      </c>
      <c r="R97" s="131">
        <f t="shared" si="109"/>
        <v>0</v>
      </c>
      <c r="S97" s="186"/>
      <c r="T97" s="134">
        <f t="shared" si="110"/>
        <v>0</v>
      </c>
      <c r="U97" s="131">
        <f t="shared" si="111"/>
        <v>0</v>
      </c>
      <c r="V97" s="186"/>
      <c r="W97" s="186"/>
      <c r="X97" s="137">
        <v>108.492</v>
      </c>
      <c r="Y97" s="131">
        <f t="shared" ref="Y97:Y98" si="112">F97-X97</f>
        <v>-108.492</v>
      </c>
      <c r="Z97" s="132"/>
    </row>
    <row r="98" spans="1:28" s="8" customFormat="1" ht="27.75" customHeight="1" x14ac:dyDescent="0.25">
      <c r="A98" s="42"/>
      <c r="B98" s="185" t="s">
        <v>208</v>
      </c>
      <c r="C98" s="17"/>
      <c r="D98" s="134">
        <v>0</v>
      </c>
      <c r="E98" s="134">
        <v>0</v>
      </c>
      <c r="F98" s="137">
        <f t="shared" si="85"/>
        <v>0</v>
      </c>
      <c r="G98" s="134">
        <v>0</v>
      </c>
      <c r="H98" s="134">
        <v>0</v>
      </c>
      <c r="I98" s="134">
        <v>0</v>
      </c>
      <c r="J98" s="134">
        <v>0</v>
      </c>
      <c r="K98" s="134">
        <v>0</v>
      </c>
      <c r="L98" s="134">
        <v>0</v>
      </c>
      <c r="M98" s="134">
        <v>0</v>
      </c>
      <c r="N98" s="134">
        <v>0</v>
      </c>
      <c r="O98" s="134">
        <v>0</v>
      </c>
      <c r="P98" s="134">
        <v>0</v>
      </c>
      <c r="Q98" s="134">
        <v>0</v>
      </c>
      <c r="R98" s="131">
        <f t="shared" si="109"/>
        <v>0</v>
      </c>
      <c r="S98" s="186"/>
      <c r="T98" s="134">
        <f t="shared" si="110"/>
        <v>0</v>
      </c>
      <c r="U98" s="131">
        <f t="shared" si="111"/>
        <v>0</v>
      </c>
      <c r="V98" s="186"/>
      <c r="W98" s="186"/>
      <c r="X98" s="137">
        <v>10000</v>
      </c>
      <c r="Y98" s="131">
        <f t="shared" si="112"/>
        <v>-10000</v>
      </c>
      <c r="Z98" s="132"/>
    </row>
    <row r="99" spans="1:28" s="36" customFormat="1" ht="22.5" x14ac:dyDescent="0.25">
      <c r="A99" s="35"/>
      <c r="B99" s="98"/>
      <c r="C99" s="26"/>
      <c r="D99" s="58"/>
      <c r="E99" s="58"/>
      <c r="F99" s="49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96"/>
      <c r="S99" s="97"/>
      <c r="T99" s="96"/>
      <c r="U99" s="96"/>
      <c r="V99" s="97"/>
      <c r="W99" s="97"/>
      <c r="X99" s="49"/>
      <c r="Y99" s="96"/>
      <c r="Z99" s="97"/>
    </row>
    <row r="100" spans="1:28" s="50" customFormat="1" ht="37.5" customHeight="1" x14ac:dyDescent="0.3">
      <c r="A100" s="47"/>
      <c r="B100" s="51" t="s">
        <v>28</v>
      </c>
      <c r="C100" s="53"/>
      <c r="D100" s="49">
        <f>D101+D102</f>
        <v>22916.2</v>
      </c>
      <c r="E100" s="49">
        <f>E101+E102</f>
        <v>22916.2</v>
      </c>
      <c r="F100" s="49">
        <f t="shared" si="85"/>
        <v>0</v>
      </c>
      <c r="G100" s="49">
        <f t="shared" ref="G100:Q100" si="113">G101+G102</f>
        <v>0</v>
      </c>
      <c r="H100" s="49">
        <f t="shared" si="113"/>
        <v>0</v>
      </c>
      <c r="I100" s="49">
        <f t="shared" si="113"/>
        <v>0</v>
      </c>
      <c r="J100" s="49">
        <f t="shared" si="113"/>
        <v>0</v>
      </c>
      <c r="K100" s="49">
        <f t="shared" ref="K100:O100" si="114">K101+K102</f>
        <v>0</v>
      </c>
      <c r="L100" s="49">
        <f t="shared" si="114"/>
        <v>0</v>
      </c>
      <c r="M100" s="49">
        <f t="shared" si="114"/>
        <v>0</v>
      </c>
      <c r="N100" s="49">
        <f t="shared" si="114"/>
        <v>0</v>
      </c>
      <c r="O100" s="49">
        <f t="shared" si="114"/>
        <v>0</v>
      </c>
      <c r="P100" s="49">
        <f t="shared" si="113"/>
        <v>0</v>
      </c>
      <c r="Q100" s="49">
        <f t="shared" si="113"/>
        <v>22916.2</v>
      </c>
      <c r="R100" s="92">
        <f>F100-Q100</f>
        <v>-22916.2</v>
      </c>
      <c r="S100" s="93">
        <f>F100/Q100*100</f>
        <v>0</v>
      </c>
      <c r="T100" s="49">
        <f>T101+T102</f>
        <v>22916.2</v>
      </c>
      <c r="U100" s="92">
        <f>F100-T100</f>
        <v>-22916.2</v>
      </c>
      <c r="V100" s="93">
        <f>F100/T100*100</f>
        <v>0</v>
      </c>
      <c r="W100" s="93">
        <f t="shared" si="96"/>
        <v>0</v>
      </c>
      <c r="X100" s="49">
        <f>X101+X102</f>
        <v>38658.254000000001</v>
      </c>
      <c r="Y100" s="92">
        <f>F100-X100</f>
        <v>-38658.254000000001</v>
      </c>
      <c r="Z100" s="93"/>
    </row>
    <row r="101" spans="1:28" s="8" customFormat="1" ht="23.25" hidden="1" x14ac:dyDescent="0.25">
      <c r="A101" s="14"/>
      <c r="B101" s="17" t="s">
        <v>100</v>
      </c>
      <c r="C101" s="17"/>
      <c r="D101" s="134">
        <f>D94</f>
        <v>22916.2</v>
      </c>
      <c r="E101" s="134">
        <f>D101</f>
        <v>22916.2</v>
      </c>
      <c r="F101" s="137">
        <f t="shared" si="85"/>
        <v>0</v>
      </c>
      <c r="G101" s="134">
        <f t="shared" ref="G101:Q101" si="115">G94</f>
        <v>0</v>
      </c>
      <c r="H101" s="134">
        <f t="shared" si="115"/>
        <v>0</v>
      </c>
      <c r="I101" s="134">
        <f t="shared" si="115"/>
        <v>0</v>
      </c>
      <c r="J101" s="134">
        <f t="shared" si="115"/>
        <v>0</v>
      </c>
      <c r="K101" s="134">
        <f t="shared" ref="K101:O101" si="116">K94</f>
        <v>0</v>
      </c>
      <c r="L101" s="134">
        <f t="shared" si="116"/>
        <v>0</v>
      </c>
      <c r="M101" s="134">
        <f t="shared" si="116"/>
        <v>0</v>
      </c>
      <c r="N101" s="134">
        <f t="shared" si="116"/>
        <v>0</v>
      </c>
      <c r="O101" s="134">
        <f t="shared" si="116"/>
        <v>0</v>
      </c>
      <c r="P101" s="134">
        <f t="shared" si="115"/>
        <v>0</v>
      </c>
      <c r="Q101" s="134">
        <f t="shared" si="115"/>
        <v>22916.2</v>
      </c>
      <c r="R101" s="131">
        <f>F101-Q101</f>
        <v>-22916.2</v>
      </c>
      <c r="S101" s="132"/>
      <c r="T101" s="134">
        <f>T94</f>
        <v>22916.2</v>
      </c>
      <c r="U101" s="131">
        <f>F101-T101</f>
        <v>-22916.2</v>
      </c>
      <c r="V101" s="132">
        <f>F101/T101*100</f>
        <v>0</v>
      </c>
      <c r="W101" s="132">
        <f t="shared" si="96"/>
        <v>0</v>
      </c>
      <c r="X101" s="137">
        <f>X94</f>
        <v>6040.8</v>
      </c>
      <c r="Y101" s="131">
        <f>F101-X101</f>
        <v>-6040.8</v>
      </c>
      <c r="Z101" s="132"/>
    </row>
    <row r="102" spans="1:28" s="8" customFormat="1" ht="23.25" hidden="1" x14ac:dyDescent="0.25">
      <c r="A102" s="14"/>
      <c r="B102" s="177" t="s">
        <v>99</v>
      </c>
      <c r="C102" s="17"/>
      <c r="D102" s="134">
        <v>0</v>
      </c>
      <c r="E102" s="134">
        <v>0</v>
      </c>
      <c r="F102" s="137">
        <f t="shared" si="85"/>
        <v>0</v>
      </c>
      <c r="G102" s="134">
        <v>0</v>
      </c>
      <c r="H102" s="134">
        <v>0</v>
      </c>
      <c r="I102" s="134">
        <v>0</v>
      </c>
      <c r="J102" s="134">
        <v>0</v>
      </c>
      <c r="K102" s="134">
        <v>0</v>
      </c>
      <c r="L102" s="134">
        <v>0</v>
      </c>
      <c r="M102" s="134">
        <v>0</v>
      </c>
      <c r="N102" s="134">
        <v>0</v>
      </c>
      <c r="O102" s="134">
        <v>0</v>
      </c>
      <c r="P102" s="134">
        <v>0</v>
      </c>
      <c r="Q102" s="134">
        <v>0</v>
      </c>
      <c r="R102" s="131">
        <f>F102-Q102</f>
        <v>0</v>
      </c>
      <c r="S102" s="132"/>
      <c r="T102" s="134">
        <v>0</v>
      </c>
      <c r="U102" s="131">
        <f>F102-T102</f>
        <v>0</v>
      </c>
      <c r="V102" s="132"/>
      <c r="W102" s="132"/>
      <c r="X102" s="137">
        <f>X95+X96</f>
        <v>32617.453999999998</v>
      </c>
      <c r="Y102" s="131">
        <f>F102-X102</f>
        <v>-32617.453999999998</v>
      </c>
      <c r="Z102" s="132"/>
    </row>
    <row r="103" spans="1:28" s="10" customFormat="1" ht="23.25" x14ac:dyDescent="0.25">
      <c r="A103" s="24"/>
      <c r="B103" s="41"/>
      <c r="C103" s="25"/>
      <c r="D103" s="133"/>
      <c r="E103" s="133"/>
      <c r="F103" s="140"/>
      <c r="G103" s="141"/>
      <c r="H103" s="141"/>
      <c r="I103" s="141"/>
      <c r="J103" s="141"/>
      <c r="K103" s="141"/>
      <c r="L103" s="141"/>
      <c r="M103" s="141"/>
      <c r="N103" s="141"/>
      <c r="O103" s="141"/>
      <c r="P103" s="141"/>
      <c r="Q103" s="133"/>
      <c r="R103" s="126"/>
      <c r="S103" s="127"/>
      <c r="T103" s="133"/>
      <c r="U103" s="126"/>
      <c r="V103" s="127"/>
      <c r="W103" s="127"/>
      <c r="X103" s="140"/>
      <c r="Y103" s="126"/>
      <c r="Z103" s="127"/>
    </row>
    <row r="104" spans="1:28" s="167" customFormat="1" ht="55.5" customHeight="1" x14ac:dyDescent="0.3">
      <c r="A104" s="160"/>
      <c r="B104" s="161" t="s">
        <v>41</v>
      </c>
      <c r="C104" s="168"/>
      <c r="D104" s="163">
        <f>D92+D100</f>
        <v>194890.11200000002</v>
      </c>
      <c r="E104" s="163">
        <f>E92+E100</f>
        <v>196890.11200000002</v>
      </c>
      <c r="F104" s="163">
        <f t="shared" si="85"/>
        <v>184941.79100000003</v>
      </c>
      <c r="G104" s="163">
        <f t="shared" ref="G104:Q104" si="117">G92+G100</f>
        <v>14825.063</v>
      </c>
      <c r="H104" s="163">
        <f t="shared" si="117"/>
        <v>17196.864000000001</v>
      </c>
      <c r="I104" s="163">
        <f t="shared" si="117"/>
        <v>12321.911</v>
      </c>
      <c r="J104" s="163">
        <f t="shared" si="117"/>
        <v>4324.71</v>
      </c>
      <c r="K104" s="163">
        <f t="shared" si="117"/>
        <v>12169.493999999999</v>
      </c>
      <c r="L104" s="163">
        <f t="shared" si="117"/>
        <v>41250.891000000003</v>
      </c>
      <c r="M104" s="163">
        <f t="shared" si="117"/>
        <v>12117.844999999999</v>
      </c>
      <c r="N104" s="163">
        <f t="shared" si="117"/>
        <v>12855.340999999999</v>
      </c>
      <c r="O104" s="163">
        <f t="shared" si="117"/>
        <v>47013.624000000003</v>
      </c>
      <c r="P104" s="163">
        <f t="shared" si="117"/>
        <v>10866.047999999999</v>
      </c>
      <c r="Q104" s="163">
        <f t="shared" si="117"/>
        <v>145277.21600000001</v>
      </c>
      <c r="R104" s="164">
        <f>F104-Q104</f>
        <v>39664.575000000012</v>
      </c>
      <c r="S104" s="165">
        <f>F104/Q104*100</f>
        <v>127.30268110314009</v>
      </c>
      <c r="T104" s="163">
        <f>T92+T100</f>
        <v>167894.46000000002</v>
      </c>
      <c r="U104" s="164">
        <f>F104-T104</f>
        <v>17047.331000000006</v>
      </c>
      <c r="V104" s="165">
        <f>F104/T104*100</f>
        <v>110.15359946957155</v>
      </c>
      <c r="W104" s="165">
        <f t="shared" si="96"/>
        <v>93.931477371499497</v>
      </c>
      <c r="X104" s="163">
        <f>X92+X100</f>
        <v>195882.28499999997</v>
      </c>
      <c r="Y104" s="164">
        <f>F104-X104</f>
        <v>-10940.493999999948</v>
      </c>
      <c r="Z104" s="165">
        <f>F104/X104*100</f>
        <v>94.414760885600273</v>
      </c>
      <c r="AA104" s="163">
        <v>195882.285</v>
      </c>
      <c r="AB104" s="166">
        <f>AA104-X104</f>
        <v>0</v>
      </c>
    </row>
    <row r="105" spans="1:28" s="59" customFormat="1" ht="22.5" hidden="1" x14ac:dyDescent="0.3">
      <c r="A105" s="55"/>
      <c r="B105" s="56"/>
      <c r="C105" s="57"/>
      <c r="D105" s="58"/>
      <c r="E105" s="58"/>
      <c r="F105" s="49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96"/>
      <c r="S105" s="97"/>
      <c r="T105" s="58"/>
      <c r="U105" s="96"/>
      <c r="V105" s="97"/>
      <c r="W105" s="97"/>
      <c r="X105" s="49"/>
      <c r="Y105" s="96"/>
      <c r="Z105" s="97"/>
    </row>
    <row r="106" spans="1:28" s="13" customFormat="1" ht="26.25" customHeight="1" x14ac:dyDescent="0.25">
      <c r="A106" s="192" t="s">
        <v>40</v>
      </c>
      <c r="B106" s="192"/>
      <c r="C106" s="192"/>
      <c r="D106" s="192"/>
      <c r="E106" s="192"/>
      <c r="F106" s="192"/>
      <c r="G106" s="192"/>
      <c r="H106" s="192"/>
      <c r="I106" s="192"/>
      <c r="J106" s="192"/>
      <c r="K106" s="192"/>
      <c r="L106" s="192"/>
      <c r="M106" s="192"/>
      <c r="N106" s="192"/>
      <c r="O106" s="192"/>
      <c r="P106" s="192"/>
      <c r="Q106" s="192"/>
      <c r="R106" s="192"/>
      <c r="S106" s="192"/>
      <c r="T106" s="192"/>
      <c r="U106" s="192"/>
      <c r="V106" s="192"/>
      <c r="W106" s="192"/>
      <c r="X106" s="192"/>
      <c r="Y106" s="192"/>
      <c r="Z106" s="192"/>
    </row>
    <row r="107" spans="1:28" s="167" customFormat="1" ht="37.5" customHeight="1" x14ac:dyDescent="0.3">
      <c r="A107" s="169"/>
      <c r="B107" s="161" t="s">
        <v>157</v>
      </c>
      <c r="C107" s="168"/>
      <c r="D107" s="163">
        <f>D48+D92</f>
        <v>4561433.8969999999</v>
      </c>
      <c r="E107" s="163">
        <f>E48+E92</f>
        <v>4563433.8969999999</v>
      </c>
      <c r="F107" s="163">
        <f t="shared" si="85"/>
        <v>3928057.5560000003</v>
      </c>
      <c r="G107" s="163">
        <f t="shared" ref="G107:Q107" si="118">G48+G92</f>
        <v>318364.7900000001</v>
      </c>
      <c r="H107" s="163">
        <f t="shared" si="118"/>
        <v>399800.83500000008</v>
      </c>
      <c r="I107" s="163">
        <f t="shared" si="118"/>
        <v>311256.16200000007</v>
      </c>
      <c r="J107" s="163">
        <f t="shared" si="118"/>
        <v>330473.98300000001</v>
      </c>
      <c r="K107" s="163">
        <f t="shared" si="118"/>
        <v>396663.61</v>
      </c>
      <c r="L107" s="163">
        <f t="shared" si="118"/>
        <v>424851.77399999998</v>
      </c>
      <c r="M107" s="163">
        <f t="shared" si="118"/>
        <v>427753.22199999995</v>
      </c>
      <c r="N107" s="163">
        <f t="shared" si="118"/>
        <v>406960.85799999995</v>
      </c>
      <c r="O107" s="163">
        <f t="shared" si="118"/>
        <v>444800.38400000014</v>
      </c>
      <c r="P107" s="163">
        <f t="shared" si="118"/>
        <v>467131.93800000008</v>
      </c>
      <c r="Q107" s="163">
        <f t="shared" si="118"/>
        <v>3739210.3070000005</v>
      </c>
      <c r="R107" s="164">
        <f>F107-Q107</f>
        <v>188847.24899999984</v>
      </c>
      <c r="S107" s="165">
        <f>F107/Q107*100</f>
        <v>105.050458077912</v>
      </c>
      <c r="T107" s="163">
        <f>T48+T92</f>
        <v>3802861.5808333335</v>
      </c>
      <c r="U107" s="164">
        <f>F107-T107</f>
        <v>125195.97516666679</v>
      </c>
      <c r="V107" s="165">
        <f>F107/T107*100</f>
        <v>103.29215177848342</v>
      </c>
      <c r="W107" s="165">
        <f t="shared" ref="W107:W115" si="119">F107/E107*100</f>
        <v>86.076793148736172</v>
      </c>
      <c r="X107" s="163">
        <f>X48+X92</f>
        <v>3169841.9180000015</v>
      </c>
      <c r="Y107" s="164">
        <f>F107-X107</f>
        <v>758215.63799999887</v>
      </c>
      <c r="Z107" s="165">
        <f>F107/X107*100</f>
        <v>123.91966721414272</v>
      </c>
    </row>
    <row r="108" spans="1:28" s="32" customFormat="1" ht="22.5" customHeight="1" x14ac:dyDescent="0.3">
      <c r="A108" s="12"/>
      <c r="B108" s="16"/>
      <c r="C108" s="26"/>
      <c r="D108" s="58"/>
      <c r="E108" s="58"/>
      <c r="F108" s="49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96"/>
      <c r="S108" s="97"/>
      <c r="T108" s="58"/>
      <c r="U108" s="96"/>
      <c r="V108" s="97"/>
      <c r="W108" s="97"/>
      <c r="X108" s="49"/>
      <c r="Y108" s="96"/>
      <c r="Z108" s="97"/>
    </row>
    <row r="109" spans="1:28" s="50" customFormat="1" ht="45" customHeight="1" x14ac:dyDescent="0.3">
      <c r="A109" s="47"/>
      <c r="B109" s="51" t="s">
        <v>28</v>
      </c>
      <c r="C109" s="53"/>
      <c r="D109" s="49">
        <f>D110+D111</f>
        <v>932227.53999999992</v>
      </c>
      <c r="E109" s="49">
        <f>E110+E111</f>
        <v>848143.33199999994</v>
      </c>
      <c r="F109" s="49">
        <f t="shared" si="85"/>
        <v>696693.4929999999</v>
      </c>
      <c r="G109" s="49">
        <f t="shared" ref="G109:Q109" si="120">G110+G111</f>
        <v>69678.231999999989</v>
      </c>
      <c r="H109" s="49">
        <f t="shared" si="120"/>
        <v>69894.97</v>
      </c>
      <c r="I109" s="49">
        <f t="shared" si="120"/>
        <v>69828.259999999995</v>
      </c>
      <c r="J109" s="49">
        <f t="shared" si="120"/>
        <v>70661.349999999991</v>
      </c>
      <c r="K109" s="49">
        <f t="shared" si="120"/>
        <v>87818.024999999994</v>
      </c>
      <c r="L109" s="49">
        <f t="shared" si="120"/>
        <v>140325.394</v>
      </c>
      <c r="M109" s="49">
        <f t="shared" si="120"/>
        <v>33926.944000000003</v>
      </c>
      <c r="N109" s="49">
        <f t="shared" si="120"/>
        <v>32409.428999999996</v>
      </c>
      <c r="O109" s="49">
        <f t="shared" ref="O109" si="121">O110+O111</f>
        <v>60720.714999999997</v>
      </c>
      <c r="P109" s="49">
        <f t="shared" si="120"/>
        <v>61430.173999999999</v>
      </c>
      <c r="Q109" s="49">
        <f t="shared" si="120"/>
        <v>720060.87199999997</v>
      </c>
      <c r="R109" s="92">
        <f>F109-Q109</f>
        <v>-23367.379000000074</v>
      </c>
      <c r="S109" s="93">
        <f>F109/Q109*100</f>
        <v>96.754805057647957</v>
      </c>
      <c r="T109" s="49">
        <f>T110+T111</f>
        <v>843333.03999999992</v>
      </c>
      <c r="U109" s="92">
        <f>F109-T109</f>
        <v>-146639.54700000002</v>
      </c>
      <c r="V109" s="93">
        <f>F109/T109*100</f>
        <v>82.611905374891975</v>
      </c>
      <c r="W109" s="93">
        <f t="shared" si="119"/>
        <v>82.14336736659034</v>
      </c>
      <c r="X109" s="49">
        <f>X110+X111</f>
        <v>688949.69000000018</v>
      </c>
      <c r="Y109" s="92">
        <f>F109-X109</f>
        <v>7743.8029999997234</v>
      </c>
      <c r="Z109" s="93">
        <f>F109/X109*100</f>
        <v>101.12400123149772</v>
      </c>
    </row>
    <row r="110" spans="1:28" s="13" customFormat="1" ht="48" hidden="1" customHeight="1" x14ac:dyDescent="0.25">
      <c r="A110" s="12"/>
      <c r="B110" s="187" t="s">
        <v>111</v>
      </c>
      <c r="C110" s="26"/>
      <c r="D110" s="58">
        <f t="shared" ref="D110:Q110" si="122">D70</f>
        <v>29000</v>
      </c>
      <c r="E110" s="58">
        <f t="shared" si="122"/>
        <v>33810.292000000001</v>
      </c>
      <c r="F110" s="49">
        <f t="shared" si="122"/>
        <v>28977.291999999998</v>
      </c>
      <c r="G110" s="58">
        <f t="shared" si="122"/>
        <v>2416.6999999999998</v>
      </c>
      <c r="H110" s="58">
        <f t="shared" si="122"/>
        <v>2416.6999999999998</v>
      </c>
      <c r="I110" s="58">
        <f t="shared" si="122"/>
        <v>2416.6999999999998</v>
      </c>
      <c r="J110" s="58">
        <f t="shared" si="122"/>
        <v>2416.6999999999998</v>
      </c>
      <c r="K110" s="58">
        <f t="shared" si="122"/>
        <v>2416.6999999999998</v>
      </c>
      <c r="L110" s="58">
        <f t="shared" si="122"/>
        <v>2416.6999999999998</v>
      </c>
      <c r="M110" s="58">
        <f t="shared" si="122"/>
        <v>5452.94</v>
      </c>
      <c r="N110" s="58">
        <f t="shared" si="122"/>
        <v>3475.0829999999996</v>
      </c>
      <c r="O110" s="58">
        <f t="shared" si="122"/>
        <v>2416.6999999999998</v>
      </c>
      <c r="P110" s="58">
        <f t="shared" si="122"/>
        <v>3132.3689999999997</v>
      </c>
      <c r="Q110" s="58">
        <f t="shared" si="122"/>
        <v>28977.292000000001</v>
      </c>
      <c r="R110" s="96">
        <f>F110-Q110</f>
        <v>0</v>
      </c>
      <c r="S110" s="97">
        <f>F110/Q110*100</f>
        <v>99.999999999999986</v>
      </c>
      <c r="T110" s="58">
        <f>T70</f>
        <v>29000</v>
      </c>
      <c r="U110" s="96">
        <f>F110-T110</f>
        <v>-22.708000000002357</v>
      </c>
      <c r="V110" s="97">
        <f>F110/T110*100</f>
        <v>99.921696551724125</v>
      </c>
      <c r="W110" s="97">
        <f t="shared" ref="W110" si="123">F110/E110*100</f>
        <v>85.705536053932917</v>
      </c>
      <c r="X110" s="49">
        <f>X70</f>
        <v>0</v>
      </c>
      <c r="Y110" s="96">
        <f>F110-X110</f>
        <v>28977.291999999998</v>
      </c>
      <c r="Z110" s="97"/>
    </row>
    <row r="111" spans="1:28" s="59" customFormat="1" ht="29.25" hidden="1" customHeight="1" x14ac:dyDescent="0.3">
      <c r="A111" s="170"/>
      <c r="B111" s="60" t="s">
        <v>71</v>
      </c>
      <c r="C111" s="57"/>
      <c r="D111" s="58">
        <f>D112+D113</f>
        <v>903227.53999999992</v>
      </c>
      <c r="E111" s="58">
        <f>E112+E113</f>
        <v>814333.03999999992</v>
      </c>
      <c r="F111" s="49">
        <f t="shared" si="85"/>
        <v>667716.201</v>
      </c>
      <c r="G111" s="58">
        <f t="shared" ref="G111:Q111" si="124">G112+G113</f>
        <v>67261.531999999992</v>
      </c>
      <c r="H111" s="58">
        <f t="shared" ref="H111:P111" si="125">H112+H113</f>
        <v>67478.27</v>
      </c>
      <c r="I111" s="58">
        <f t="shared" ref="I111:O111" si="126">I112+I113</f>
        <v>67411.56</v>
      </c>
      <c r="J111" s="58">
        <f t="shared" si="126"/>
        <v>68244.649999999994</v>
      </c>
      <c r="K111" s="58">
        <f t="shared" si="126"/>
        <v>85401.324999999997</v>
      </c>
      <c r="L111" s="58">
        <f t="shared" si="126"/>
        <v>137908.69399999999</v>
      </c>
      <c r="M111" s="58">
        <f t="shared" si="126"/>
        <v>28474.004000000001</v>
      </c>
      <c r="N111" s="58">
        <f t="shared" si="126"/>
        <v>28934.345999999998</v>
      </c>
      <c r="O111" s="58">
        <f t="shared" si="126"/>
        <v>58304.014999999999</v>
      </c>
      <c r="P111" s="58">
        <f t="shared" si="125"/>
        <v>58297.805</v>
      </c>
      <c r="Q111" s="58">
        <f t="shared" si="124"/>
        <v>691083.58</v>
      </c>
      <c r="R111" s="96">
        <f>F111-Q111</f>
        <v>-23367.378999999957</v>
      </c>
      <c r="S111" s="97">
        <f>F111/Q111*100</f>
        <v>96.618733294169729</v>
      </c>
      <c r="T111" s="58">
        <f t="shared" ref="T111" si="127">T112+T113</f>
        <v>814333.03999999992</v>
      </c>
      <c r="U111" s="96">
        <f>F111-T111</f>
        <v>-146616.83899999992</v>
      </c>
      <c r="V111" s="97">
        <f>F111/T111*100</f>
        <v>81.995469691368541</v>
      </c>
      <c r="W111" s="97">
        <f t="shared" si="119"/>
        <v>81.995469691368541</v>
      </c>
      <c r="X111" s="49">
        <f t="shared" ref="X111" si="128">X112+X113</f>
        <v>688949.69000000018</v>
      </c>
      <c r="Y111" s="96">
        <f>F111-X111</f>
        <v>-21233.489000000176</v>
      </c>
      <c r="Z111" s="97">
        <f>F111/X111*100</f>
        <v>96.917991355798392</v>
      </c>
    </row>
    <row r="112" spans="1:28" s="173" customFormat="1" ht="23.25" hidden="1" x14ac:dyDescent="0.35">
      <c r="A112" s="171"/>
      <c r="B112" s="172" t="s">
        <v>100</v>
      </c>
      <c r="C112" s="172"/>
      <c r="D112" s="134">
        <f>D72+D101</f>
        <v>878600.29999999993</v>
      </c>
      <c r="E112" s="134">
        <f>E72+E101</f>
        <v>793031.89999999991</v>
      </c>
      <c r="F112" s="137">
        <f t="shared" si="85"/>
        <v>650535.9</v>
      </c>
      <c r="G112" s="134">
        <f t="shared" ref="G112:Q112" si="129">G72+G101</f>
        <v>65887.7</v>
      </c>
      <c r="H112" s="134">
        <f t="shared" si="129"/>
        <v>65887.7</v>
      </c>
      <c r="I112" s="134">
        <f t="shared" si="129"/>
        <v>65887.7</v>
      </c>
      <c r="J112" s="134">
        <f t="shared" si="129"/>
        <v>65887.7</v>
      </c>
      <c r="K112" s="134">
        <f t="shared" si="129"/>
        <v>83001.399999999994</v>
      </c>
      <c r="L112" s="134">
        <f t="shared" si="129"/>
        <v>135324.4</v>
      </c>
      <c r="M112" s="134">
        <f t="shared" si="129"/>
        <v>27767.9</v>
      </c>
      <c r="N112" s="134">
        <f t="shared" si="129"/>
        <v>27740.3</v>
      </c>
      <c r="O112" s="134">
        <f t="shared" si="129"/>
        <v>56223.6</v>
      </c>
      <c r="P112" s="134">
        <f t="shared" si="129"/>
        <v>56927.5</v>
      </c>
      <c r="Q112" s="134">
        <f t="shared" si="129"/>
        <v>673452.1</v>
      </c>
      <c r="R112" s="131">
        <f>F112-Q112</f>
        <v>-22916.199999999953</v>
      </c>
      <c r="S112" s="132">
        <f>F112/Q112*100</f>
        <v>96.597204166413619</v>
      </c>
      <c r="T112" s="134">
        <f>T72+T101</f>
        <v>793031.89999999991</v>
      </c>
      <c r="U112" s="131">
        <f>F112-T112</f>
        <v>-142495.99999999988</v>
      </c>
      <c r="V112" s="132">
        <f>F112/T112*100</f>
        <v>82.031492049689319</v>
      </c>
      <c r="W112" s="132">
        <f t="shared" si="119"/>
        <v>82.031492049689319</v>
      </c>
      <c r="X112" s="137">
        <f>X72+X101</f>
        <v>605518.00000000012</v>
      </c>
      <c r="Y112" s="131">
        <f>F112-X112</f>
        <v>45017.899999999907</v>
      </c>
      <c r="Z112" s="132">
        <f>F112/X112*100</f>
        <v>107.43460970606982</v>
      </c>
    </row>
    <row r="113" spans="1:28" s="173" customFormat="1" ht="32.25" hidden="1" customHeight="1" x14ac:dyDescent="0.35">
      <c r="A113" s="171"/>
      <c r="B113" s="172" t="s">
        <v>99</v>
      </c>
      <c r="C113" s="172"/>
      <c r="D113" s="134">
        <f>D102+D73</f>
        <v>24627.24</v>
      </c>
      <c r="E113" s="134">
        <f>E102+E73</f>
        <v>21301.14</v>
      </c>
      <c r="F113" s="137">
        <f t="shared" si="85"/>
        <v>17180.300999999999</v>
      </c>
      <c r="G113" s="134">
        <f t="shared" ref="G113:Q113" si="130">G102+G73</f>
        <v>1373.8319999999999</v>
      </c>
      <c r="H113" s="134">
        <f t="shared" si="130"/>
        <v>1590.57</v>
      </c>
      <c r="I113" s="134">
        <f t="shared" si="130"/>
        <v>1523.86</v>
      </c>
      <c r="J113" s="134">
        <f t="shared" si="130"/>
        <v>2356.9499999999998</v>
      </c>
      <c r="K113" s="134">
        <f t="shared" si="130"/>
        <v>2399.9250000000002</v>
      </c>
      <c r="L113" s="134">
        <f t="shared" si="130"/>
        <v>2584.2940000000003</v>
      </c>
      <c r="M113" s="134">
        <f t="shared" si="130"/>
        <v>706.10400000000004</v>
      </c>
      <c r="N113" s="134">
        <f t="shared" si="130"/>
        <v>1194.046</v>
      </c>
      <c r="O113" s="134">
        <f t="shared" si="130"/>
        <v>2080.415</v>
      </c>
      <c r="P113" s="134">
        <f t="shared" si="130"/>
        <v>1370.3049999999998</v>
      </c>
      <c r="Q113" s="134">
        <f t="shared" si="130"/>
        <v>17631.48</v>
      </c>
      <c r="R113" s="131">
        <f>F113-Q113</f>
        <v>-451.17900000000009</v>
      </c>
      <c r="S113" s="132">
        <f>F113/Q113*100</f>
        <v>97.44105996773952</v>
      </c>
      <c r="T113" s="134">
        <f>T102+T73</f>
        <v>21301.14</v>
      </c>
      <c r="U113" s="131">
        <f>F113-T113</f>
        <v>-4120.8389999999999</v>
      </c>
      <c r="V113" s="132">
        <f>F113/T113*100</f>
        <v>80.654373427901035</v>
      </c>
      <c r="W113" s="132">
        <f t="shared" si="119"/>
        <v>80.654373427901035</v>
      </c>
      <c r="X113" s="137">
        <f>X102+X73</f>
        <v>83431.69</v>
      </c>
      <c r="Y113" s="131">
        <f>F113-X113</f>
        <v>-66251.388999999996</v>
      </c>
      <c r="Z113" s="132">
        <f>F113/X113*100</f>
        <v>20.592056807191604</v>
      </c>
    </row>
    <row r="114" spans="1:28" s="8" customFormat="1" ht="23.25" x14ac:dyDescent="0.25">
      <c r="A114" s="28"/>
      <c r="B114" s="45"/>
      <c r="C114" s="17"/>
      <c r="D114" s="134"/>
      <c r="E114" s="134"/>
      <c r="F114" s="137"/>
      <c r="G114" s="134"/>
      <c r="H114" s="134"/>
      <c r="I114" s="134"/>
      <c r="J114" s="134"/>
      <c r="K114" s="134"/>
      <c r="L114" s="134"/>
      <c r="M114" s="134"/>
      <c r="N114" s="134"/>
      <c r="O114" s="134"/>
      <c r="P114" s="134"/>
      <c r="Q114" s="134"/>
      <c r="R114" s="131"/>
      <c r="S114" s="132"/>
      <c r="T114" s="134"/>
      <c r="U114" s="131"/>
      <c r="V114" s="132"/>
      <c r="W114" s="132"/>
      <c r="X114" s="137"/>
      <c r="Y114" s="131"/>
      <c r="Z114" s="132"/>
    </row>
    <row r="115" spans="1:28" s="167" customFormat="1" ht="56.25" customHeight="1" x14ac:dyDescent="0.3">
      <c r="A115" s="169"/>
      <c r="B115" s="161" t="s">
        <v>143</v>
      </c>
      <c r="C115" s="168"/>
      <c r="D115" s="163">
        <f>D107+D109</f>
        <v>5493661.4369999999</v>
      </c>
      <c r="E115" s="163">
        <f>E107+E109</f>
        <v>5411577.2290000003</v>
      </c>
      <c r="F115" s="163">
        <f t="shared" si="85"/>
        <v>4624751.0489999996</v>
      </c>
      <c r="G115" s="163">
        <f t="shared" ref="G115:Q115" si="131">G107+G109</f>
        <v>388043.02200000011</v>
      </c>
      <c r="H115" s="163">
        <f t="shared" si="131"/>
        <v>469695.80500000005</v>
      </c>
      <c r="I115" s="163">
        <f t="shared" si="131"/>
        <v>381084.42200000008</v>
      </c>
      <c r="J115" s="163">
        <f t="shared" si="131"/>
        <v>401135.33299999998</v>
      </c>
      <c r="K115" s="163">
        <f t="shared" si="131"/>
        <v>484481.63500000001</v>
      </c>
      <c r="L115" s="163">
        <f t="shared" si="131"/>
        <v>565177.16799999995</v>
      </c>
      <c r="M115" s="163">
        <f t="shared" si="131"/>
        <v>461680.16599999997</v>
      </c>
      <c r="N115" s="163">
        <f t="shared" si="131"/>
        <v>439370.28699999995</v>
      </c>
      <c r="O115" s="163">
        <f t="shared" si="131"/>
        <v>505521.09900000016</v>
      </c>
      <c r="P115" s="163">
        <f t="shared" si="131"/>
        <v>528562.11200000008</v>
      </c>
      <c r="Q115" s="163">
        <f t="shared" si="131"/>
        <v>4459271.1790000005</v>
      </c>
      <c r="R115" s="164">
        <f>F115-Q115</f>
        <v>165479.86999999918</v>
      </c>
      <c r="S115" s="165">
        <f>F115/Q115*100</f>
        <v>103.71091739787641</v>
      </c>
      <c r="T115" s="163">
        <f>T104+T75</f>
        <v>4646194.6208333336</v>
      </c>
      <c r="U115" s="164">
        <f>F115-T115</f>
        <v>-21443.571833333932</v>
      </c>
      <c r="V115" s="165">
        <f>F115/T115*100</f>
        <v>99.538470219538766</v>
      </c>
      <c r="W115" s="165">
        <f t="shared" si="119"/>
        <v>85.460316896458721</v>
      </c>
      <c r="X115" s="163">
        <f>X107+X109</f>
        <v>3858791.6080000019</v>
      </c>
      <c r="Y115" s="164">
        <f>F115-X115</f>
        <v>765959.44099999778</v>
      </c>
      <c r="Z115" s="165">
        <f>F115/X115*100</f>
        <v>119.8497228876527</v>
      </c>
      <c r="AA115" s="163">
        <v>3858791.608</v>
      </c>
      <c r="AB115" s="163">
        <f>AA115-X115</f>
        <v>0</v>
      </c>
    </row>
    <row r="116" spans="1:28" s="59" customFormat="1" ht="22.5" hidden="1" customHeight="1" x14ac:dyDescent="0.3">
      <c r="A116" s="61"/>
      <c r="B116" s="56"/>
      <c r="C116" s="57"/>
      <c r="D116" s="180"/>
      <c r="E116" s="180"/>
      <c r="F116" s="181"/>
      <c r="G116" s="180"/>
      <c r="H116" s="180"/>
      <c r="I116" s="180"/>
      <c r="J116" s="180"/>
      <c r="K116" s="180"/>
      <c r="L116" s="180"/>
      <c r="M116" s="180"/>
      <c r="N116" s="180"/>
      <c r="O116" s="180"/>
      <c r="P116" s="180"/>
      <c r="Q116" s="180"/>
      <c r="R116" s="96"/>
      <c r="S116" s="97"/>
      <c r="T116" s="58"/>
      <c r="U116" s="96"/>
      <c r="V116" s="97"/>
      <c r="W116" s="97"/>
      <c r="X116" s="181"/>
      <c r="Y116" s="96"/>
      <c r="Z116" s="97"/>
    </row>
    <row r="117" spans="1:28" s="15" customFormat="1" ht="3.75" customHeight="1" x14ac:dyDescent="0.3">
      <c r="A117" s="37"/>
      <c r="B117" s="38"/>
      <c r="C117" s="39"/>
      <c r="D117" s="39"/>
      <c r="E117" s="40"/>
      <c r="F117" s="108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99"/>
      <c r="S117" s="100"/>
      <c r="T117" s="40"/>
      <c r="U117" s="99"/>
      <c r="V117" s="100"/>
      <c r="W117" s="100"/>
      <c r="X117" s="108"/>
      <c r="Y117" s="99"/>
      <c r="Z117" s="100"/>
    </row>
    <row r="118" spans="1:28" s="15" customFormat="1" ht="112.5" customHeight="1" x14ac:dyDescent="0.4">
      <c r="A118" s="37"/>
      <c r="B118" s="22" t="s">
        <v>220</v>
      </c>
      <c r="C118" s="22"/>
      <c r="D118" s="22"/>
      <c r="E118" s="22"/>
      <c r="F118" s="22"/>
      <c r="G118" s="22" t="s">
        <v>221</v>
      </c>
      <c r="H118" s="22" t="s">
        <v>221</v>
      </c>
      <c r="I118" s="22" t="s">
        <v>221</v>
      </c>
      <c r="J118" s="22" t="s">
        <v>221</v>
      </c>
      <c r="K118" s="22" t="s">
        <v>221</v>
      </c>
      <c r="L118" s="22" t="s">
        <v>221</v>
      </c>
      <c r="M118" s="22" t="s">
        <v>221</v>
      </c>
      <c r="N118" s="22" t="s">
        <v>221</v>
      </c>
      <c r="O118" s="22" t="s">
        <v>221</v>
      </c>
      <c r="P118" s="22" t="s">
        <v>221</v>
      </c>
      <c r="Q118" s="22"/>
      <c r="R118" s="22"/>
      <c r="S118" s="22"/>
      <c r="T118" s="22" t="s">
        <v>221</v>
      </c>
      <c r="U118" s="22" t="s">
        <v>221</v>
      </c>
      <c r="V118" s="22" t="s">
        <v>221</v>
      </c>
      <c r="W118" s="22" t="s">
        <v>221</v>
      </c>
      <c r="X118" s="22"/>
      <c r="Y118" s="99"/>
      <c r="Z118" s="100"/>
    </row>
    <row r="119" spans="1:28" s="8" customFormat="1" ht="31.5" customHeight="1" x14ac:dyDescent="0.45">
      <c r="A119" s="6"/>
      <c r="B119" s="31" t="s">
        <v>51</v>
      </c>
      <c r="C119" s="19"/>
      <c r="D119" s="19"/>
      <c r="E119" s="19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7"/>
      <c r="R119" s="101"/>
      <c r="S119" s="102"/>
      <c r="T119" s="7"/>
      <c r="U119" s="101"/>
      <c r="V119" s="102"/>
      <c r="W119" s="102"/>
      <c r="X119" s="21"/>
      <c r="Y119" s="101"/>
      <c r="Z119" s="102"/>
    </row>
    <row r="120" spans="1:28" s="8" customFormat="1" ht="30.75" hidden="1" x14ac:dyDescent="0.45">
      <c r="A120" s="6"/>
      <c r="B120" s="19"/>
      <c r="C120" s="19"/>
      <c r="D120" s="19"/>
      <c r="E120" s="146"/>
      <c r="F120" s="62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7"/>
      <c r="R120" s="101"/>
      <c r="S120" s="102"/>
      <c r="T120" s="7"/>
      <c r="U120" s="101"/>
      <c r="V120" s="102"/>
      <c r="W120" s="102"/>
      <c r="X120" s="62"/>
      <c r="Y120" s="101"/>
      <c r="Z120" s="102"/>
    </row>
    <row r="121" spans="1:28" s="4" customFormat="1" ht="30.75" hidden="1" x14ac:dyDescent="0.45">
      <c r="A121" s="29"/>
      <c r="B121" s="19"/>
      <c r="C121" s="19"/>
      <c r="D121" s="119">
        <v>5493661.4369999999</v>
      </c>
      <c r="E121" s="119">
        <v>5411577.2290000003</v>
      </c>
      <c r="F121" s="68">
        <v>4624751.0489999996</v>
      </c>
      <c r="G121" s="68">
        <v>388043.022</v>
      </c>
      <c r="H121" s="68">
        <v>469695.80800000002</v>
      </c>
      <c r="I121" s="68">
        <v>381084.42200000002</v>
      </c>
      <c r="J121" s="68">
        <v>401135.33299999998</v>
      </c>
      <c r="K121" s="68"/>
      <c r="L121" s="68"/>
      <c r="M121" s="68"/>
      <c r="N121" s="68"/>
      <c r="O121" s="68">
        <v>505521.09899999999</v>
      </c>
      <c r="P121" s="68">
        <v>528562.11199999996</v>
      </c>
      <c r="Q121" s="68">
        <v>4459271.1789999995</v>
      </c>
      <c r="R121" s="5"/>
      <c r="S121" s="5"/>
      <c r="T121" s="22"/>
      <c r="U121" s="5"/>
      <c r="V121" s="5"/>
      <c r="W121" s="5"/>
      <c r="X121" s="68"/>
      <c r="Y121" s="5"/>
    </row>
    <row r="122" spans="1:28" ht="12" hidden="1" customHeight="1" x14ac:dyDescent="0.45">
      <c r="B122" s="31"/>
      <c r="C122" s="21"/>
      <c r="D122" s="21"/>
      <c r="E122" s="21"/>
      <c r="F122" s="62"/>
      <c r="G122" s="62"/>
      <c r="H122" s="21"/>
      <c r="I122" s="21"/>
      <c r="J122" s="21"/>
      <c r="K122" s="21"/>
      <c r="L122" s="21"/>
      <c r="M122" s="21"/>
      <c r="N122" s="21"/>
      <c r="O122" s="21"/>
      <c r="P122" s="21"/>
      <c r="X122" s="62"/>
    </row>
    <row r="123" spans="1:28" s="2" customFormat="1" ht="30.75" hidden="1" customHeight="1" x14ac:dyDescent="0.45">
      <c r="A123" s="30"/>
      <c r="B123" s="19"/>
      <c r="C123" s="19"/>
      <c r="D123" s="19"/>
      <c r="E123" s="19"/>
      <c r="F123" s="62"/>
      <c r="G123" s="62"/>
      <c r="H123" s="21"/>
      <c r="I123" s="21"/>
      <c r="J123" s="21"/>
      <c r="K123" s="21"/>
      <c r="L123" s="21"/>
      <c r="M123" s="21"/>
      <c r="N123" s="21"/>
      <c r="O123" s="21"/>
      <c r="P123" s="21"/>
      <c r="R123" s="156"/>
      <c r="S123" s="156"/>
      <c r="T123" s="156"/>
      <c r="U123" s="156"/>
      <c r="V123" s="156"/>
      <c r="W123" s="156"/>
      <c r="X123" s="62"/>
      <c r="Y123" s="156"/>
    </row>
    <row r="124" spans="1:28" s="2" customFormat="1" ht="30.75" hidden="1" customHeight="1" x14ac:dyDescent="0.45">
      <c r="A124" s="30"/>
      <c r="B124" s="19"/>
      <c r="C124" s="19"/>
      <c r="D124" s="19"/>
      <c r="E124" s="19"/>
      <c r="F124" s="62"/>
      <c r="G124" s="62"/>
      <c r="H124" s="21"/>
      <c r="I124" s="21"/>
      <c r="J124" s="21"/>
      <c r="K124" s="21"/>
      <c r="L124" s="21"/>
      <c r="M124" s="21"/>
      <c r="N124" s="21"/>
      <c r="O124" s="21"/>
      <c r="P124" s="21"/>
      <c r="R124" s="156"/>
      <c r="S124" s="156"/>
      <c r="T124" s="156"/>
      <c r="U124" s="156"/>
      <c r="V124" s="156"/>
      <c r="W124" s="156"/>
      <c r="X124" s="62"/>
      <c r="Y124" s="156"/>
    </row>
    <row r="125" spans="1:28" s="2" customFormat="1" ht="16.5" hidden="1" customHeight="1" x14ac:dyDescent="0.45">
      <c r="A125" s="30"/>
      <c r="B125" s="31"/>
      <c r="C125" s="21"/>
      <c r="D125" s="21"/>
      <c r="E125" s="21"/>
      <c r="F125" s="62"/>
      <c r="G125" s="62"/>
      <c r="H125" s="21"/>
      <c r="I125" s="21"/>
      <c r="J125" s="21"/>
      <c r="K125" s="21"/>
      <c r="L125" s="21"/>
      <c r="M125" s="21"/>
      <c r="N125" s="21"/>
      <c r="O125" s="21"/>
      <c r="P125" s="21"/>
      <c r="R125" s="156"/>
      <c r="S125" s="156"/>
      <c r="T125" s="156"/>
      <c r="U125" s="156"/>
      <c r="V125" s="156"/>
      <c r="W125" s="156"/>
      <c r="X125" s="62"/>
      <c r="Y125" s="156"/>
    </row>
    <row r="126" spans="1:28" ht="18.75" hidden="1" x14ac:dyDescent="0.3">
      <c r="B126" s="29"/>
      <c r="D126" s="119">
        <f t="shared" ref="D126:J126" si="132">D121-D115</f>
        <v>0</v>
      </c>
      <c r="E126" s="119">
        <f t="shared" si="132"/>
        <v>0</v>
      </c>
      <c r="F126" s="119">
        <f t="shared" si="132"/>
        <v>0</v>
      </c>
      <c r="G126" s="119">
        <f t="shared" si="132"/>
        <v>0</v>
      </c>
      <c r="H126" s="119">
        <f t="shared" si="132"/>
        <v>2.9999999678693712E-3</v>
      </c>
      <c r="I126" s="119">
        <f t="shared" si="132"/>
        <v>0</v>
      </c>
      <c r="J126" s="119">
        <f t="shared" si="132"/>
        <v>0</v>
      </c>
      <c r="K126" s="119"/>
      <c r="L126" s="119"/>
      <c r="M126" s="119"/>
      <c r="N126" s="119"/>
      <c r="O126" s="119">
        <f>O121-O115</f>
        <v>0</v>
      </c>
      <c r="P126" s="119">
        <f>P121-P115</f>
        <v>0</v>
      </c>
      <c r="Q126" s="119">
        <f>Q121-Q115</f>
        <v>0</v>
      </c>
      <c r="R126" s="188" t="s">
        <v>48</v>
      </c>
      <c r="S126" s="188"/>
      <c r="T126" s="104">
        <f>D48/12*10</f>
        <v>3657883.3208333328</v>
      </c>
      <c r="X126" s="119"/>
    </row>
    <row r="127" spans="1:28" ht="18.75" hidden="1" x14ac:dyDescent="0.3">
      <c r="B127" s="29"/>
      <c r="Q127" s="121"/>
      <c r="R127" s="156"/>
      <c r="S127" s="156"/>
      <c r="T127" s="104">
        <f>T126-T48</f>
        <v>0</v>
      </c>
    </row>
    <row r="128" spans="1:28" ht="18.75" hidden="1" x14ac:dyDescent="0.3">
      <c r="B128" s="4"/>
      <c r="C128" s="3"/>
      <c r="D128" s="3"/>
      <c r="E128" s="120"/>
      <c r="F128" s="120"/>
      <c r="R128" s="188" t="s">
        <v>49</v>
      </c>
      <c r="S128" s="188"/>
      <c r="T128" s="103">
        <f>E92/12*10</f>
        <v>144978.26</v>
      </c>
      <c r="X128" s="120"/>
    </row>
    <row r="129" spans="2:51" ht="18.75" hidden="1" x14ac:dyDescent="0.3">
      <c r="B129" s="4"/>
      <c r="C129" s="3"/>
      <c r="D129" s="3"/>
      <c r="E129" s="3"/>
      <c r="F129" s="3"/>
      <c r="R129" s="156"/>
      <c r="S129" s="156"/>
      <c r="T129" s="104">
        <f>T128-T92</f>
        <v>0</v>
      </c>
      <c r="X129" s="3"/>
    </row>
    <row r="130" spans="2:51" ht="22.5" hidden="1" x14ac:dyDescent="0.3">
      <c r="B130" s="4"/>
      <c r="C130" s="3"/>
      <c r="D130" s="3"/>
      <c r="E130" s="147"/>
      <c r="F130" s="147"/>
      <c r="R130" s="188" t="s">
        <v>50</v>
      </c>
      <c r="S130" s="188"/>
      <c r="T130" s="104">
        <f>T128+T100</f>
        <v>167894.46000000002</v>
      </c>
      <c r="X130" s="147"/>
    </row>
    <row r="131" spans="2:51" ht="18.75" hidden="1" x14ac:dyDescent="0.3">
      <c r="B131" s="4"/>
      <c r="C131" s="3"/>
      <c r="D131" s="3"/>
      <c r="E131" s="3"/>
      <c r="R131" s="156"/>
      <c r="S131" s="156"/>
      <c r="T131" s="104">
        <f>T130-T104</f>
        <v>0</v>
      </c>
    </row>
    <row r="132" spans="2:51" ht="18.75" x14ac:dyDescent="0.3">
      <c r="B132" s="4"/>
      <c r="C132" s="3"/>
      <c r="D132" s="3"/>
      <c r="E132" s="3"/>
    </row>
    <row r="133" spans="2:51" ht="18.75" x14ac:dyDescent="0.3">
      <c r="B133" s="149"/>
      <c r="C133" s="3"/>
      <c r="D133" s="3"/>
      <c r="E133" s="3"/>
    </row>
    <row r="134" spans="2:51" ht="18.75" x14ac:dyDescent="0.3">
      <c r="B134" s="4"/>
      <c r="C134" s="3"/>
      <c r="D134" s="3"/>
      <c r="E134" s="3"/>
    </row>
    <row r="135" spans="2:51" s="20" customFormat="1" ht="18.75" x14ac:dyDescent="0.3">
      <c r="B135" s="4"/>
      <c r="C135" s="3"/>
      <c r="D135" s="3"/>
      <c r="E135" s="3"/>
      <c r="F135" s="3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1"/>
      <c r="S135" s="1"/>
      <c r="T135" s="1"/>
      <c r="U135" s="1"/>
      <c r="V135" s="1"/>
      <c r="W135" s="1"/>
      <c r="X135" s="33"/>
      <c r="Y135" s="1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</row>
    <row r="136" spans="2:51" s="20" customFormat="1" ht="18.75" x14ac:dyDescent="0.3">
      <c r="B136" s="4"/>
      <c r="C136" s="3"/>
      <c r="D136" s="3"/>
      <c r="E136" s="120"/>
      <c r="F136" s="150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1"/>
      <c r="S136" s="1"/>
      <c r="T136" s="1"/>
      <c r="U136" s="1"/>
      <c r="V136" s="1"/>
      <c r="W136" s="1"/>
      <c r="X136" s="150"/>
      <c r="Y136" s="1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</row>
    <row r="137" spans="2:51" s="20" customFormat="1" ht="18.75" x14ac:dyDescent="0.3">
      <c r="B137" s="4"/>
      <c r="C137" s="3"/>
      <c r="D137" s="151"/>
      <c r="E137" s="3"/>
      <c r="F137" s="3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1"/>
      <c r="S137" s="1"/>
      <c r="T137" s="1"/>
      <c r="U137" s="1"/>
      <c r="V137" s="1"/>
      <c r="W137" s="1"/>
      <c r="X137" s="33"/>
      <c r="Y137" s="1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</row>
    <row r="138" spans="2:51" s="20" customFormat="1" ht="18.75" x14ac:dyDescent="0.3">
      <c r="B138" s="4"/>
      <c r="C138" s="3"/>
      <c r="D138" s="3"/>
      <c r="E138" s="3"/>
      <c r="F138" s="3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1"/>
      <c r="S138" s="1"/>
      <c r="T138" s="1"/>
      <c r="U138" s="1"/>
      <c r="V138" s="1"/>
      <c r="W138" s="1"/>
      <c r="X138" s="33"/>
      <c r="Y138" s="1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</row>
    <row r="139" spans="2:51" s="20" customFormat="1" ht="22.5" x14ac:dyDescent="0.3">
      <c r="B139" s="4"/>
      <c r="C139" s="3"/>
      <c r="D139" s="148"/>
      <c r="E139" s="3"/>
      <c r="F139" s="3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1"/>
      <c r="S139" s="1"/>
      <c r="T139" s="1"/>
      <c r="U139" s="1"/>
      <c r="V139" s="1"/>
      <c r="W139" s="1"/>
      <c r="X139" s="33"/>
      <c r="Y139" s="1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</row>
    <row r="140" spans="2:51" s="20" customFormat="1" ht="18.75" x14ac:dyDescent="0.3">
      <c r="B140" s="4"/>
      <c r="C140" s="3"/>
      <c r="D140" s="3"/>
      <c r="E140" s="3"/>
      <c r="F140" s="150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1"/>
      <c r="S140" s="1"/>
      <c r="T140" s="1"/>
      <c r="U140" s="1"/>
      <c r="V140" s="1"/>
      <c r="W140" s="1"/>
      <c r="X140" s="150"/>
      <c r="Y140" s="1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</row>
    <row r="141" spans="2:51" s="20" customFormat="1" ht="18.75" x14ac:dyDescent="0.3">
      <c r="B141" s="4"/>
      <c r="C141" s="3"/>
      <c r="D141" s="3"/>
      <c r="E141" s="3"/>
      <c r="F141" s="3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1"/>
      <c r="S141" s="1"/>
      <c r="T141" s="1"/>
      <c r="U141" s="1"/>
      <c r="V141" s="1"/>
      <c r="W141" s="1"/>
      <c r="X141" s="33"/>
      <c r="Y141" s="1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</row>
    <row r="142" spans="2:51" s="20" customFormat="1" ht="18.75" x14ac:dyDescent="0.3">
      <c r="B142" s="4"/>
      <c r="C142" s="3"/>
      <c r="D142" s="3"/>
      <c r="E142" s="3"/>
      <c r="F142" s="3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1"/>
      <c r="S142" s="1"/>
      <c r="T142" s="1"/>
      <c r="U142" s="1"/>
      <c r="V142" s="1"/>
      <c r="W142" s="1"/>
      <c r="X142" s="33"/>
      <c r="Y142" s="1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</row>
    <row r="143" spans="2:51" s="20" customFormat="1" ht="18.75" x14ac:dyDescent="0.3">
      <c r="B143" s="29"/>
      <c r="F143" s="3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1"/>
      <c r="S143" s="1"/>
      <c r="T143" s="1"/>
      <c r="U143" s="1"/>
      <c r="V143" s="1"/>
      <c r="W143" s="1"/>
      <c r="X143" s="33"/>
      <c r="Y143" s="1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</row>
    <row r="144" spans="2:51" s="20" customFormat="1" ht="18.75" x14ac:dyDescent="0.3">
      <c r="B144" s="29"/>
      <c r="F144" s="3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1"/>
      <c r="S144" s="1"/>
      <c r="T144" s="1"/>
      <c r="U144" s="1"/>
      <c r="V144" s="1"/>
      <c r="W144" s="1"/>
      <c r="X144" s="33"/>
      <c r="Y144" s="1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</row>
  </sheetData>
  <mergeCells count="34">
    <mergeCell ref="W3:W4"/>
    <mergeCell ref="X3:X4"/>
    <mergeCell ref="T3:T4"/>
    <mergeCell ref="U3:U4"/>
    <mergeCell ref="V3:V4"/>
    <mergeCell ref="P3:P4"/>
    <mergeCell ref="J3:J4"/>
    <mergeCell ref="C22:C24"/>
    <mergeCell ref="N3:N4"/>
    <mergeCell ref="R126:S126"/>
    <mergeCell ref="I3:I4"/>
    <mergeCell ref="R3:R4"/>
    <mergeCell ref="S3:S4"/>
    <mergeCell ref="K3:K4"/>
    <mergeCell ref="L3:L4"/>
    <mergeCell ref="M3:M4"/>
    <mergeCell ref="Q3:Q4"/>
    <mergeCell ref="O3:O4"/>
    <mergeCell ref="R128:S128"/>
    <mergeCell ref="R130:S130"/>
    <mergeCell ref="A1:Z1"/>
    <mergeCell ref="A6:Z6"/>
    <mergeCell ref="A76:Z76"/>
    <mergeCell ref="A106:Z106"/>
    <mergeCell ref="G3:G4"/>
    <mergeCell ref="B3:B4"/>
    <mergeCell ref="C3:C4"/>
    <mergeCell ref="D3:D4"/>
    <mergeCell ref="E3:E4"/>
    <mergeCell ref="F3:F4"/>
    <mergeCell ref="A3:A4"/>
    <mergeCell ref="H3:H4"/>
    <mergeCell ref="Z3:Z4"/>
    <mergeCell ref="Y3:Y4"/>
  </mergeCells>
  <printOptions horizontalCentered="1"/>
  <pageMargins left="0.39370078740157483" right="0" top="0" bottom="0" header="0.23622047244094491" footer="0.11811023622047245"/>
  <pageSetup paperSize="8" scale="64" fitToHeight="14" orientation="landscape" horizontalDpi="300" verticalDpi="300" r:id="rId1"/>
  <headerFooter alignWithMargins="0"/>
  <rowBreaks count="1" manualBreakCount="1">
    <brk id="104" max="2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A029950C053C244A6A9F13E4B878893" ma:contentTypeVersion="0" ma:contentTypeDescription="Створення нового документа." ma:contentTypeScope="" ma:versionID="8013ad39d31bd0b6f241a0d4cccdf3c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6c1214ede72f45502cafdd67aec15b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 ma:readOnly="true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6F3D7FED-1DE7-42FA-B81E-F9B480DFCB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7165E8A-1497-4595-9DEC-0A096D6544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DC5F1B-D535-4A3F-8E8B-D26E9B299826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2022</vt:lpstr>
      <vt:lpstr>'2022'!Заголовки_для_печати</vt:lpstr>
      <vt:lpstr>'2022'!Область_печати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Серветник Максим Миколайович</cp:lastModifiedBy>
  <cp:lastPrinted>2022-11-10T10:50:27Z</cp:lastPrinted>
  <dcterms:created xsi:type="dcterms:W3CDTF">1996-10-08T23:32:33Z</dcterms:created>
  <dcterms:modified xsi:type="dcterms:W3CDTF">2022-11-14T06:43:00Z</dcterms:modified>
</cp:coreProperties>
</file>